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<sst xmlns="http://schemas.openxmlformats.org/spreadsheetml/2006/main" uniqueCount="364">
  <si>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</si>
  <si>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</si>
  <si>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</si>
  <si>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</si>
  <si>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</si>
  <si>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</si>
  <si>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</si>
  <si>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</si>
  <si>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</si>
  <si>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</si>
  <si>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</si>
  <si>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</si>
  <si>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</si>
  <si>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</si>
  <si>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</si>
  <si>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</si>
  <si>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</si>
  <si>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</si>
  <si>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</si>
  <si>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</si>
  <si>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</si>
  <si>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</si>
  <si>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</si>
  <si>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</si>
  <si>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</si>
  <si>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</si>
  <si>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</si>
  <si>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</si>
  <si>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</si>
  <si>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</si>
  <si>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</si>
  <si>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</si>
  <si>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</si>
  <si>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</si>
  <si>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</si>
  <si>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</si>
  <si>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</si>
  <si>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</si>
  <si>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</si>
  <si>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</si>
  <si>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</si>
  <si>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</si>
  <si>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</si>
  <si>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</si>
  <si>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</si>
  <si>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</si>
  <si>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</si>
  <si>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</si>
  <si>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</si>
  <si>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</si>
  <si>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</si>
  <si>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</si>
  <si>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</si>
  <si>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</si>
  <si>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</si>
  <si>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</si>
  <si>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</si>
  <si>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</si>
  <si>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</si>
  <si>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</si>
  <si>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</si>
  <si>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</si>
  <si>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</si>
  <si>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</si>
  <si>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</si>
  <si>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</si>
  <si>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</si>
  <si>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</si>
  <si>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</si>
  <si>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</si>
  <si>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</si>
  <si>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</si>
  <si>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</si>
  <si>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</si>
  <si>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</si>
  <si>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</si>
  <si>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</si>
  <si>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</si>
  <si>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</si>
  <si>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</si>
  <si>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</si>
  <si>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</si>
  <si>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</si>
  <si>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</si>
  <si>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</si>
  <si>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</si>
  <si>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</si>
  <si>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</si>
  <si>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</si>
  <si>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</si>
  <si>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</si>
  <si>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Inorganic fertizers</t>
  </si>
  <si>
    <t>Yes</t>
  </si>
  <si>
    <t>Yes using a diesel pump</t>
  </si>
  <si>
    <t>April</t>
  </si>
  <si>
    <t>Cabbages</t>
  </si>
  <si>
    <t>Home recycled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</si>
  <si>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</si>
  <si>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</si>
  <si>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</si>
  <si>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</si>
  <si>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</si>
  <si>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</si>
  <si>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</si>
  <si>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</si>
  <si>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</si>
  <si>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</si>
  <si>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</si>
  <si>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</si>
  <si>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</si>
  <si>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</si>
  <si>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</si>
  <si>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</si>
  <si>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</si>
  <si>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</si>
  <si>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</si>
  <si>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</si>
  <si>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</si>
  <si>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</si>
  <si>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</si>
  <si>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</si>
  <si>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</si>
  <si>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</si>
  <si>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</si>
  <si>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</si>
  <si>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</si>
  <si>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</si>
  <si>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</si>
  <si>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</si>
  <si>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</si>
  <si>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</si>
  <si>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</si>
  <si>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</si>
  <si>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</si>
  <si>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</si>
  <si>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</si>
  <si>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</si>
  <si>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</si>
  <si>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</si>
  <si>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</si>
  <si>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</si>
  <si>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</si>
  <si>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</si>
  <si>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</si>
  <si>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</si>
  <si>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</si>
  <si>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</si>
  <si>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</si>
  <si>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</si>
  <si>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</si>
  <si>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//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</si>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</sst>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0</v>
      </c>
    </row>
    <row r="17" spans="1:7">
      <c r="B17" s="1" t="s">
        <v>11</v>
      </c>
      <c r="C17" s="36">
        <f>SUM(Output!B6:M6)</f>
        <v>441490.8029967172</v>
      </c>
    </row>
    <row r="18" spans="1:7">
      <c r="B18" s="1" t="s">
        <v>12</v>
      </c>
      <c r="C18" s="36">
        <f>MIN(Output!B6:M6)</f>
        <v>-39377.63776046926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230484.4740903988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125071.4784498368</v>
      </c>
      <c r="C6" s="51">
        <f>C30-C88</f>
        <v>-30977.63776046926</v>
      </c>
      <c r="D6" s="51">
        <f>D30-D88</f>
        <v>-39377.63776046926</v>
      </c>
      <c r="E6" s="51">
        <f>E30-E88</f>
        <v>230484.4740903988</v>
      </c>
      <c r="F6" s="51">
        <f>F30-F88</f>
        <v>-29977.63776046926</v>
      </c>
      <c r="G6" s="51">
        <f>G30-G88</f>
        <v>-34477.63776046926</v>
      </c>
      <c r="H6" s="51">
        <f>H30-H88</f>
        <v>125071.4784498368</v>
      </c>
      <c r="I6" s="51">
        <f>I30-I88</f>
        <v>-30977.63776046926</v>
      </c>
      <c r="J6" s="51">
        <f>J30-J88</f>
        <v>-39377.63776046926</v>
      </c>
      <c r="K6" s="51">
        <f>K30-K88</f>
        <v>230484.4740903988</v>
      </c>
      <c r="L6" s="51">
        <f>L30-L88</f>
        <v>-29977.63776046926</v>
      </c>
      <c r="M6" s="51">
        <f>M30-M88</f>
        <v>-34477.63776046926</v>
      </c>
      <c r="N6" s="51">
        <f>N30-N88</f>
        <v>125071.4784498368</v>
      </c>
      <c r="O6" s="51">
        <f>O30-O88</f>
        <v>-30977.63776046926</v>
      </c>
      <c r="P6" s="51">
        <f>P30-P88</f>
        <v>-39377.63776046926</v>
      </c>
      <c r="Q6" s="51">
        <f>Q30-Q88</f>
        <v>230484.4740903988</v>
      </c>
      <c r="R6" s="51">
        <f>R30-R88</f>
        <v>-29977.63776046926</v>
      </c>
      <c r="S6" s="51">
        <f>S30-S88</f>
        <v>-13477.63776046926</v>
      </c>
      <c r="T6" s="51">
        <f>T30-T88</f>
        <v>125071.4784498368</v>
      </c>
      <c r="U6" s="51">
        <f>U30-U88</f>
        <v>-30977.63776046926</v>
      </c>
      <c r="V6" s="51">
        <f>V30-V88</f>
        <v>-39377.63776046926</v>
      </c>
      <c r="W6" s="51">
        <f>W30-W88</f>
        <v>230484.4740903988</v>
      </c>
      <c r="X6" s="51">
        <f>X30-X88</f>
        <v>-29977.63776046926</v>
      </c>
      <c r="Y6" s="51">
        <f>Y30-Y88</f>
        <v>-34477.63776046926</v>
      </c>
      <c r="Z6" s="51">
        <f>SUMIF($B$13:$Y$13,"Yes",B6:Y6)</f>
        <v>0</v>
      </c>
      <c r="AA6" s="51">
        <f>AA30-AA88</f>
        <v>441490.8029967175</v>
      </c>
      <c r="AB6" s="51">
        <f>AB30-AB88</f>
        <v>903981.6059934343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 t="str">
        <f>IFERROR(IF(AND(MONTH(B5)=MONTH(Calculations!$G$33),YEAR(B5)=YEAR(Calculations!$G$33)),Calculations!$G$35,0),0)</f>
        <v/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0</v>
      </c>
      <c r="AA9" s="75">
        <f>SUM(B9:M9)</f>
        <v>0</v>
      </c>
      <c r="AB9" s="75">
        <f>SUM(B9:Y9)</f>
        <v>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0</v>
      </c>
      <c r="AA10" s="37">
        <f>SUM(B10:M10)</f>
        <v>0</v>
      </c>
      <c r="AB10" s="37">
        <f>SUM(B10:Y10)</f>
        <v>0</v>
      </c>
    </row>
    <row r="11" spans="1:30" customHeight="1" ht="15.75">
      <c r="A11" s="43" t="s">
        <v>31</v>
      </c>
      <c r="B11" s="80" t="str">
        <f>B6+B9-B10</f>
        <v>0</v>
      </c>
      <c r="C11" s="80">
        <f>C6+C9-C10</f>
        <v>-30977.63776046926</v>
      </c>
      <c r="D11" s="80">
        <f>D6+D9-D10</f>
        <v>-39377.63776046926</v>
      </c>
      <c r="E11" s="80">
        <f>E6+E9-E10</f>
        <v>230484.4740903988</v>
      </c>
      <c r="F11" s="80">
        <f>F6+F9-F10</f>
        <v>-29977.63776046926</v>
      </c>
      <c r="G11" s="80">
        <f>G6+G9-G10</f>
        <v>-34477.63776046926</v>
      </c>
      <c r="H11" s="80">
        <f>H6+H9-H10</f>
        <v>125071.4784498368</v>
      </c>
      <c r="I11" s="80">
        <f>I6+I9-I10</f>
        <v>-30977.63776046926</v>
      </c>
      <c r="J11" s="80">
        <f>J6+J9-J10</f>
        <v>-39377.63776046926</v>
      </c>
      <c r="K11" s="80">
        <f>K6+K9-K10</f>
        <v>230484.4740903988</v>
      </c>
      <c r="L11" s="80">
        <f>L6+L9-L10</f>
        <v>-29977.63776046926</v>
      </c>
      <c r="M11" s="80">
        <f>M6+M9-M10</f>
        <v>-34477.63776046926</v>
      </c>
      <c r="N11" s="80">
        <f>N6+N9-N10</f>
        <v>125071.4784498368</v>
      </c>
      <c r="O11" s="80">
        <f>O6+O9-O10</f>
        <v>-30977.63776046926</v>
      </c>
      <c r="P11" s="80">
        <f>P6+P9-P10</f>
        <v>-39377.63776046926</v>
      </c>
      <c r="Q11" s="80">
        <f>Q6+Q9-Q10</f>
        <v>230484.4740903988</v>
      </c>
      <c r="R11" s="80">
        <f>R6+R9-R10</f>
        <v>-29977.63776046926</v>
      </c>
      <c r="S11" s="80">
        <f>S6+S9-S10</f>
        <v>-13477.63776046926</v>
      </c>
      <c r="T11" s="80">
        <f>T6+T9-T10</f>
        <v>125071.4784498368</v>
      </c>
      <c r="U11" s="80">
        <f>U6+U9-U10</f>
        <v>-30977.63776046926</v>
      </c>
      <c r="V11" s="80">
        <f>V6+V9-V10</f>
        <v>-39377.63776046926</v>
      </c>
      <c r="W11" s="80">
        <f>W6+W9-W10</f>
        <v>230484.4740903988</v>
      </c>
      <c r="X11" s="80">
        <f>X6+X9-X10</f>
        <v>-29977.63776046926</v>
      </c>
      <c r="Y11" s="80">
        <f>Y6+Y9-Y10</f>
        <v>-34477.63776046926</v>
      </c>
      <c r="Z11" s="85">
        <f>SUMIF($B$13:$Y$13,"Yes",B11:Y11)</f>
        <v>0</v>
      </c>
      <c r="AA11" s="80">
        <f>SUM(B11:M11)</f>
        <v>316419.3245468804</v>
      </c>
      <c r="AB11" s="46">
        <f>SUM(B11:Y11)</f>
        <v>778910.1275435977</v>
      </c>
      <c r="AC11" s="43"/>
      <c r="AD11" s="43"/>
    </row>
    <row r="12" spans="1:30" s="43" customFormat="1">
      <c r="A12" s="81" t="s">
        <v>32</v>
      </c>
      <c r="B12" s="82" t="str">
        <f>IF(B13="Yes",IF(SUM($B$10:B10)/(SUM($B$6:B6)+SUM($B$9:B9))&lt;0,999.99,SUM($B$10:B10)/(SUM($B$6:B6)+SUM($B$9:B9))),"")</f>
        <v/>
      </c>
      <c r="C12" s="82" t="str">
        <f>IF(C13="Yes",IF(SUM($B$10:C10)/(SUM($B$6:C6)+SUM($B$9:C9))&lt;0,999.99,SUM($B$10:C10)/(SUM($B$6:C6)+SUM($B$9:C9))),"")</f>
        <v/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No</v>
      </c>
      <c r="C13" s="183" t="str">
        <f>IF(SUM(C9:$Y$10)&gt;0,"Yes","No")</f>
        <v>No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168117.1162103061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168117.1162103061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168117.1162103061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168117.1162103061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272462.1118508681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272462.1118508681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272462.1118508681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272462.1118508681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544924.2237017362</v>
      </c>
      <c r="AB19" s="36">
        <f>SUM(B19:Y19)</f>
        <v>1089848.447403472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16466.16541353384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9221.052631578947</v>
      </c>
      <c r="C24" s="36">
        <f>IFERROR(Calculations!$P14/12,"")</f>
        <v>9221.052631578947</v>
      </c>
      <c r="D24" s="36">
        <f>IFERROR(Calculations!$P14/12,"")</f>
        <v>9221.052631578947</v>
      </c>
      <c r="E24" s="36">
        <f>IFERROR(Calculations!$P14/12,"")</f>
        <v>9221.052631578947</v>
      </c>
      <c r="F24" s="36">
        <f>IFERROR(Calculations!$P14/12,"")</f>
        <v>9221.052631578947</v>
      </c>
      <c r="G24" s="36">
        <f>IFERROR(Calculations!$P14/12,"")</f>
        <v>9221.052631578947</v>
      </c>
      <c r="H24" s="36">
        <f>IFERROR(Calculations!$P14/12,"")</f>
        <v>9221.052631578947</v>
      </c>
      <c r="I24" s="36">
        <f>IFERROR(Calculations!$P14/12,"")</f>
        <v>9221.052631578947</v>
      </c>
      <c r="J24" s="36">
        <f>IFERROR(Calculations!$P14/12,"")</f>
        <v>9221.052631578947</v>
      </c>
      <c r="K24" s="36">
        <f>IFERROR(Calculations!$P14/12,"")</f>
        <v>9221.052631578947</v>
      </c>
      <c r="L24" s="36">
        <f>IFERROR(Calculations!$P14/12,"")</f>
        <v>9221.052631578947</v>
      </c>
      <c r="M24" s="36">
        <f>IFERROR(Calculations!$P14/12,"")</f>
        <v>9221.052631578947</v>
      </c>
      <c r="N24" s="36">
        <f>IFERROR(Calculations!$P14/12,"")</f>
        <v>9221.052631578947</v>
      </c>
      <c r="O24" s="36">
        <f>IFERROR(Calculations!$P14/12,"")</f>
        <v>9221.052631578947</v>
      </c>
      <c r="P24" s="36">
        <f>IFERROR(Calculations!$P14/12,"")</f>
        <v>9221.052631578947</v>
      </c>
      <c r="Q24" s="36">
        <f>IFERROR(Calculations!$P14/12,"")</f>
        <v>9221.052631578947</v>
      </c>
      <c r="R24" s="36">
        <f>IFERROR(Calculations!$P14/12,"")</f>
        <v>9221.052631578947</v>
      </c>
      <c r="S24" s="36">
        <f>IFERROR(Calculations!$P14/12,"")</f>
        <v>9221.052631578947</v>
      </c>
      <c r="T24" s="36">
        <f>IFERROR(Calculations!$P14/12,"")</f>
        <v>9221.052631578947</v>
      </c>
      <c r="U24" s="36">
        <f>IFERROR(Calculations!$P14/12,"")</f>
        <v>9221.052631578947</v>
      </c>
      <c r="V24" s="36">
        <f>IFERROR(Calculations!$P14/12,"")</f>
        <v>9221.052631578947</v>
      </c>
      <c r="W24" s="36">
        <f>IFERROR(Calculations!$P14/12,"")</f>
        <v>9221.052631578947</v>
      </c>
      <c r="X24" s="36">
        <f>IFERROR(Calculations!$P14/12,"")</f>
        <v>9221.052631578947</v>
      </c>
      <c r="Y24" s="36">
        <f>IFERROR(Calculations!$P14/12,"")</f>
        <v>9221.052631578947</v>
      </c>
      <c r="Z24" s="36">
        <f>SUMIF($B$13:$Y$13,"Yes",B24:Y24)</f>
        <v>0</v>
      </c>
      <c r="AA24" s="36">
        <f>SUM(B24:M24)</f>
        <v>110652.6315789474</v>
      </c>
      <c r="AB24" s="46">
        <f>SUM(B24:Y24)</f>
        <v>221305.2631578946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21000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21000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177338.1688418851</v>
      </c>
      <c r="C30" s="19">
        <f>SUM(C18:C29)</f>
        <v>9221.052631578947</v>
      </c>
      <c r="D30" s="19">
        <f>SUM(D18:D29)</f>
        <v>9221.052631578947</v>
      </c>
      <c r="E30" s="19">
        <f>SUM(E18:E29)</f>
        <v>281683.164482447</v>
      </c>
      <c r="F30" s="19">
        <f>SUM(F18:F29)</f>
        <v>9221.052631578947</v>
      </c>
      <c r="G30" s="19">
        <f>SUM(G18:G29)</f>
        <v>9221.052631578947</v>
      </c>
      <c r="H30" s="19">
        <f>SUM(H18:H29)</f>
        <v>177338.1688418851</v>
      </c>
      <c r="I30" s="19">
        <f>SUM(I18:I29)</f>
        <v>9221.052631578947</v>
      </c>
      <c r="J30" s="19">
        <f>SUM(J18:J29)</f>
        <v>9221.052631578947</v>
      </c>
      <c r="K30" s="19">
        <f>SUM(K18:K29)</f>
        <v>281683.164482447</v>
      </c>
      <c r="L30" s="19">
        <f>SUM(L18:L29)</f>
        <v>9221.052631578947</v>
      </c>
      <c r="M30" s="19">
        <f>SUM(M18:M29)</f>
        <v>9221.052631578947</v>
      </c>
      <c r="N30" s="19">
        <f>SUM(N18:N29)</f>
        <v>177338.1688418851</v>
      </c>
      <c r="O30" s="19">
        <f>SUM(O18:O29)</f>
        <v>9221.052631578947</v>
      </c>
      <c r="P30" s="19">
        <f>SUM(P18:P29)</f>
        <v>9221.052631578947</v>
      </c>
      <c r="Q30" s="19">
        <f>SUM(Q18:Q29)</f>
        <v>281683.164482447</v>
      </c>
      <c r="R30" s="19">
        <f>SUM(R18:R29)</f>
        <v>9221.052631578947</v>
      </c>
      <c r="S30" s="19">
        <f>SUM(S18:S29)</f>
        <v>30221.05263157895</v>
      </c>
      <c r="T30" s="19">
        <f>SUM(T18:T29)</f>
        <v>177338.1688418851</v>
      </c>
      <c r="U30" s="19">
        <f>SUM(U18:U29)</f>
        <v>9221.052631578947</v>
      </c>
      <c r="V30" s="19">
        <f>SUM(V18:V29)</f>
        <v>9221.052631578947</v>
      </c>
      <c r="W30" s="19">
        <f>SUM(W18:W29)</f>
        <v>281683.164482447</v>
      </c>
      <c r="X30" s="19">
        <f>SUM(X18:X29)</f>
        <v>9221.052631578947</v>
      </c>
      <c r="Y30" s="19">
        <f>SUM(Y18:Y29)</f>
        <v>9221.052631578947</v>
      </c>
      <c r="Z30" s="19">
        <f>SUMIF($B$13:$Y$13,"Yes",B30:Y30)</f>
        <v>0</v>
      </c>
      <c r="AA30" s="19">
        <f>SUM(B30:M30)</f>
        <v>991811.087701296</v>
      </c>
      <c r="AB30" s="19">
        <f>SUM(B30:Y30)</f>
        <v>2004622.175402591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1818</v>
      </c>
      <c r="C42" s="36">
        <f>O42</f>
        <v>0</v>
      </c>
      <c r="D42" s="36">
        <f>P42</f>
        <v>0</v>
      </c>
      <c r="E42" s="36">
        <f>Q42</f>
        <v>750</v>
      </c>
      <c r="F42" s="36">
        <f>R42</f>
        <v>0</v>
      </c>
      <c r="G42" s="36">
        <f>S42</f>
        <v>0</v>
      </c>
      <c r="H42" s="36">
        <f>T42</f>
        <v>1818</v>
      </c>
      <c r="I42" s="36">
        <f>U42</f>
        <v>0</v>
      </c>
      <c r="J42" s="36">
        <f>V42</f>
        <v>0</v>
      </c>
      <c r="K42" s="36">
        <f>W42</f>
        <v>750</v>
      </c>
      <c r="L42" s="36">
        <f>X42</f>
        <v>0</v>
      </c>
      <c r="M42" s="36">
        <f>Y42</f>
        <v>0</v>
      </c>
      <c r="N42" s="36">
        <f>SUM(N43:N47)</f>
        <v>1818</v>
      </c>
      <c r="O42" s="36">
        <f>SUM(O43:O47)</f>
        <v>0</v>
      </c>
      <c r="P42" s="36">
        <f>SUM(P43:P47)</f>
        <v>0</v>
      </c>
      <c r="Q42" s="36">
        <f>SUM(Q43:Q47)</f>
        <v>750</v>
      </c>
      <c r="R42" s="36">
        <f>SUM(R43:R47)</f>
        <v>0</v>
      </c>
      <c r="S42" s="36">
        <f>SUM(S43:S47)</f>
        <v>0</v>
      </c>
      <c r="T42" s="36">
        <f>SUM(T43:T47)</f>
        <v>1818</v>
      </c>
      <c r="U42" s="36">
        <f>SUM(U43:U47)</f>
        <v>0</v>
      </c>
      <c r="V42" s="36">
        <f>SUM(V43:V47)</f>
        <v>0</v>
      </c>
      <c r="W42" s="36">
        <f>SUM(W43:W47)</f>
        <v>750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5136</v>
      </c>
      <c r="AB42" s="36">
        <f>SUM(B42:Y42)</f>
        <v>10272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750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750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750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750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Cabbages</v>
      </c>
      <c r="B44" s="36">
        <f>N44</f>
        <v>1818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1818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1818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1818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3636</v>
      </c>
      <c r="AB44" s="36">
        <f>SUM(B44:Y44)</f>
        <v>7272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8400</v>
      </c>
      <c r="E48" s="36">
        <f>Q48</f>
        <v>0</v>
      </c>
      <c r="F48" s="36">
        <f>R48</f>
        <v>0</v>
      </c>
      <c r="G48" s="36">
        <f>S48</f>
        <v>4500</v>
      </c>
      <c r="H48" s="36">
        <f>T48</f>
        <v>0</v>
      </c>
      <c r="I48" s="36">
        <f>U48</f>
        <v>0</v>
      </c>
      <c r="J48" s="36">
        <f>V48</f>
        <v>8400</v>
      </c>
      <c r="K48" s="36">
        <f>W48</f>
        <v>0</v>
      </c>
      <c r="L48" s="36">
        <f>X48</f>
        <v>0</v>
      </c>
      <c r="M48" s="36">
        <f>Y48</f>
        <v>4500</v>
      </c>
      <c r="N48" s="46">
        <f>SUM(N49:N53)</f>
        <v>0</v>
      </c>
      <c r="O48" s="46">
        <f>SUM(O49:O53)</f>
        <v>0</v>
      </c>
      <c r="P48" s="46">
        <f>SUM(P49:P53)</f>
        <v>8400</v>
      </c>
      <c r="Q48" s="46">
        <f>SUM(Q49:Q53)</f>
        <v>0</v>
      </c>
      <c r="R48" s="46">
        <f>SUM(R49:R53)</f>
        <v>0</v>
      </c>
      <c r="S48" s="46">
        <f>SUM(S49:S53)</f>
        <v>4500</v>
      </c>
      <c r="T48" s="46">
        <f>SUM(T49:T53)</f>
        <v>0</v>
      </c>
      <c r="U48" s="46">
        <f>SUM(U49:U53)</f>
        <v>0</v>
      </c>
      <c r="V48" s="46">
        <f>SUM(V49:V53)</f>
        <v>8400</v>
      </c>
      <c r="W48" s="46">
        <f>SUM(W49:W53)</f>
        <v>0</v>
      </c>
      <c r="X48" s="46">
        <f>SUM(X49:X53)</f>
        <v>0</v>
      </c>
      <c r="Y48" s="46">
        <f>SUM(Y49:Y53)</f>
        <v>4500</v>
      </c>
      <c r="Z48" s="46">
        <f>SUMIF($B$13:$Y$13,"Yes",B48:Y48)</f>
        <v>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4500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4500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4500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4500</v>
      </c>
      <c r="Z49" s="46">
        <f>SUMIF($B$13:$Y$13,"Yes",B49:Y49)</f>
        <v>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8400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8400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8400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8400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16800</v>
      </c>
      <c r="AB50" s="46">
        <f>SUM(B50:Y50)</f>
        <v>33600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</v>
      </c>
      <c r="C60" s="36">
        <f>O60</f>
        <v>0</v>
      </c>
      <c r="D60" s="36">
        <f>P60</f>
        <v>0</v>
      </c>
      <c r="E60" s="36">
        <f>Q60</f>
        <v>1500</v>
      </c>
      <c r="F60" s="36">
        <f>R60</f>
        <v>1500</v>
      </c>
      <c r="G60" s="36">
        <f>S60</f>
        <v>1500</v>
      </c>
      <c r="H60" s="36">
        <f>T60</f>
        <v>1500</v>
      </c>
      <c r="I60" s="36">
        <f>U60</f>
        <v>0</v>
      </c>
      <c r="J60" s="36">
        <f>V60</f>
        <v>0</v>
      </c>
      <c r="K60" s="36">
        <f>W60</f>
        <v>1500</v>
      </c>
      <c r="L60" s="36">
        <f>X60</f>
        <v>1500</v>
      </c>
      <c r="M60" s="36">
        <f>Y60</f>
        <v>1500</v>
      </c>
      <c r="N60" s="46">
        <f>SUM(N61:N65)</f>
        <v>1500</v>
      </c>
      <c r="O60" s="46">
        <f>SUM(O61:O65)</f>
        <v>0</v>
      </c>
      <c r="P60" s="46">
        <f>SUM(P61:P65)</f>
        <v>0</v>
      </c>
      <c r="Q60" s="46">
        <f>SUM(Q61:Q65)</f>
        <v>1500</v>
      </c>
      <c r="R60" s="46">
        <f>SUM(R61:R65)</f>
        <v>1500</v>
      </c>
      <c r="S60" s="46">
        <f>SUM(S61:S65)</f>
        <v>1500</v>
      </c>
      <c r="T60" s="46">
        <f>SUM(T61:T65)</f>
        <v>1500</v>
      </c>
      <c r="U60" s="46">
        <f>SUM(U61:U65)</f>
        <v>0</v>
      </c>
      <c r="V60" s="46">
        <f>SUM(V61:V65)</f>
        <v>0</v>
      </c>
      <c r="W60" s="46">
        <f>SUM(W61:W65)</f>
        <v>1500</v>
      </c>
      <c r="X60" s="46">
        <f>SUM(X61:X65)</f>
        <v>1500</v>
      </c>
      <c r="Y60" s="46">
        <f>SUM(Y61:Y65)</f>
        <v>1500</v>
      </c>
      <c r="Z60" s="46">
        <f>SUMIF($B$13:$Y$13,"Yes",B60:Y60)</f>
        <v>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1500</v>
      </c>
      <c r="C61" s="36">
        <f>O61</f>
        <v>0</v>
      </c>
      <c r="D61" s="36">
        <f>P61</f>
        <v>0</v>
      </c>
      <c r="E61" s="36">
        <f>Q61</f>
        <v>1500</v>
      </c>
      <c r="F61" s="36">
        <f>R61</f>
        <v>1500</v>
      </c>
      <c r="G61" s="36">
        <f>S61</f>
        <v>1500</v>
      </c>
      <c r="H61" s="36">
        <f>T61</f>
        <v>1500</v>
      </c>
      <c r="I61" s="36">
        <f>U61</f>
        <v>0</v>
      </c>
      <c r="J61" s="36">
        <f>V61</f>
        <v>0</v>
      </c>
      <c r="K61" s="36">
        <f>W61</f>
        <v>1500</v>
      </c>
      <c r="L61" s="36">
        <f>X61</f>
        <v>1500</v>
      </c>
      <c r="M61" s="36">
        <f>Y61</f>
        <v>1500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</v>
      </c>
      <c r="Z61" s="46">
        <f>SUMIF($B$13:$Y$13,"Yes",B61:Y61)</f>
        <v>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20000</v>
      </c>
      <c r="C66" s="36">
        <f>O66</f>
        <v>11250</v>
      </c>
      <c r="D66" s="36">
        <f>P66</f>
        <v>11250</v>
      </c>
      <c r="E66" s="36">
        <f>Q66</f>
        <v>20000</v>
      </c>
      <c r="F66" s="36">
        <f>R66</f>
        <v>8750</v>
      </c>
      <c r="G66" s="36">
        <f>S66</f>
        <v>8750</v>
      </c>
      <c r="H66" s="36">
        <f>T66</f>
        <v>20000</v>
      </c>
      <c r="I66" s="36">
        <f>U66</f>
        <v>11250</v>
      </c>
      <c r="J66" s="36">
        <f>V66</f>
        <v>11250</v>
      </c>
      <c r="K66" s="36">
        <f>W66</f>
        <v>20000</v>
      </c>
      <c r="L66" s="36">
        <f>X66</f>
        <v>8750</v>
      </c>
      <c r="M66" s="36">
        <f>Y66</f>
        <v>8750</v>
      </c>
      <c r="N66" s="46">
        <f>SUM(N67:N71)</f>
        <v>20000</v>
      </c>
      <c r="O66" s="46">
        <f>SUM(O67:O71)</f>
        <v>11250</v>
      </c>
      <c r="P66" s="46">
        <f>SUM(P67:P71)</f>
        <v>11250</v>
      </c>
      <c r="Q66" s="46">
        <f>SUM(Q67:Q71)</f>
        <v>20000</v>
      </c>
      <c r="R66" s="46">
        <f>SUM(R67:R71)</f>
        <v>8750</v>
      </c>
      <c r="S66" s="46">
        <f>SUM(S67:S71)</f>
        <v>8750</v>
      </c>
      <c r="T66" s="46">
        <f>SUM(T67:T71)</f>
        <v>20000</v>
      </c>
      <c r="U66" s="46">
        <f>SUM(U67:U71)</f>
        <v>11250</v>
      </c>
      <c r="V66" s="46">
        <f>SUM(V67:V71)</f>
        <v>11250</v>
      </c>
      <c r="W66" s="46">
        <f>SUM(W67:W71)</f>
        <v>20000</v>
      </c>
      <c r="X66" s="46">
        <f>SUM(X67:X71)</f>
        <v>8750</v>
      </c>
      <c r="Y66" s="46">
        <f>SUM(Y67:Y71)</f>
        <v>8750</v>
      </c>
      <c r="Z66" s="46">
        <f>SUMIF($B$13:$Y$13,"Yes",B66:Y66)</f>
        <v>0</v>
      </c>
      <c r="AA66" s="46">
        <f>SUM(B66:M66)</f>
        <v>160000</v>
      </c>
      <c r="AB66" s="46">
        <f>SUM(B66:Y66)</f>
        <v>320000</v>
      </c>
    </row>
    <row r="67" spans="1:30" hidden="true" outlineLevel="1">
      <c r="A67" s="181" t="str">
        <f>Calculations!$A$4</f>
        <v>Tomatoes</v>
      </c>
      <c r="B67" s="36">
        <f>N67</f>
        <v>8750</v>
      </c>
      <c r="C67" s="36">
        <f>O67</f>
        <v>0</v>
      </c>
      <c r="D67" s="36">
        <f>P67</f>
        <v>0</v>
      </c>
      <c r="E67" s="36">
        <f>Q67</f>
        <v>8750</v>
      </c>
      <c r="F67" s="36">
        <f>R67</f>
        <v>8750</v>
      </c>
      <c r="G67" s="36">
        <f>S67</f>
        <v>8750</v>
      </c>
      <c r="H67" s="36">
        <f>T67</f>
        <v>8750</v>
      </c>
      <c r="I67" s="36">
        <f>U67</f>
        <v>0</v>
      </c>
      <c r="J67" s="36">
        <f>V67</f>
        <v>0</v>
      </c>
      <c r="K67" s="36">
        <f>W67</f>
        <v>8750</v>
      </c>
      <c r="L67" s="36">
        <f>X67</f>
        <v>8750</v>
      </c>
      <c r="M67" s="36">
        <f>Y67</f>
        <v>8750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8750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8750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8750</v>
      </c>
      <c r="Z67" s="46">
        <f>SUMIF($B$13:$Y$13,"Yes",B67:Y67)</f>
        <v>0</v>
      </c>
      <c r="AA67" s="46">
        <f>SUM(B67:M67)</f>
        <v>70000</v>
      </c>
      <c r="AB67" s="46">
        <f>SUM(B67:Y67)</f>
        <v>140000</v>
      </c>
    </row>
    <row r="68" spans="1:30" hidden="true" outlineLevel="1">
      <c r="A68" s="181" t="str">
        <f>Calculations!$A$5</f>
        <v>Cabbages</v>
      </c>
      <c r="B68" s="36">
        <f>N68</f>
        <v>11250</v>
      </c>
      <c r="C68" s="36">
        <f>O68</f>
        <v>11250</v>
      </c>
      <c r="D68" s="36">
        <f>P68</f>
        <v>11250</v>
      </c>
      <c r="E68" s="36">
        <f>Q68</f>
        <v>11250</v>
      </c>
      <c r="F68" s="36">
        <f>R68</f>
        <v>0</v>
      </c>
      <c r="G68" s="36">
        <f>S68</f>
        <v>0</v>
      </c>
      <c r="H68" s="36">
        <f>T68</f>
        <v>11250</v>
      </c>
      <c r="I68" s="36">
        <f>U68</f>
        <v>11250</v>
      </c>
      <c r="J68" s="36">
        <f>V68</f>
        <v>11250</v>
      </c>
      <c r="K68" s="36">
        <f>W68</f>
        <v>11250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11250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11250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11250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11250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11250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11250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11250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11250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90000</v>
      </c>
      <c r="AB68" s="46">
        <f>SUM(B68:Y68)</f>
        <v>180000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3650</v>
      </c>
      <c r="C74" s="46">
        <f>SUM(Calculations!$Q$14:$Q$16)/12</f>
        <v>3650</v>
      </c>
      <c r="D74" s="46">
        <f>SUM(Calculations!$Q$14:$Q$16)/12</f>
        <v>3650</v>
      </c>
      <c r="E74" s="46">
        <f>SUM(Calculations!$Q$14:$Q$16)/12</f>
        <v>3650</v>
      </c>
      <c r="F74" s="46">
        <f>SUM(Calculations!$Q$14:$Q$16)/12</f>
        <v>3650</v>
      </c>
      <c r="G74" s="46">
        <f>SUM(Calculations!$Q$14:$Q$16)/12</f>
        <v>3650</v>
      </c>
      <c r="H74" s="46">
        <f>SUM(Calculations!$Q$14:$Q$16)/12</f>
        <v>3650</v>
      </c>
      <c r="I74" s="46">
        <f>SUM(Calculations!$Q$14:$Q$16)/12</f>
        <v>3650</v>
      </c>
      <c r="J74" s="46">
        <f>SUM(Calculations!$Q$14:$Q$16)/12</f>
        <v>3650</v>
      </c>
      <c r="K74" s="46">
        <f>SUM(Calculations!$Q$14:$Q$16)/12</f>
        <v>3650</v>
      </c>
      <c r="L74" s="46">
        <f>SUM(Calculations!$Q$14:$Q$16)/12</f>
        <v>3650</v>
      </c>
      <c r="M74" s="46">
        <f>SUM(Calculations!$Q$14:$Q$16)/12</f>
        <v>3650</v>
      </c>
      <c r="N74" s="46">
        <f>SUM(Calculations!$Q$14:$Q$16)/12</f>
        <v>3650</v>
      </c>
      <c r="O74" s="46">
        <f>SUM(Calculations!$Q$14:$Q$16)/12</f>
        <v>3650</v>
      </c>
      <c r="P74" s="46">
        <f>SUM(Calculations!$Q$14:$Q$16)/12</f>
        <v>3650</v>
      </c>
      <c r="Q74" s="46">
        <f>SUM(Calculations!$Q$14:$Q$16)/12</f>
        <v>3650</v>
      </c>
      <c r="R74" s="46">
        <f>SUM(Calculations!$Q$14:$Q$16)/12</f>
        <v>3650</v>
      </c>
      <c r="S74" s="46">
        <f>SUM(Calculations!$Q$14:$Q$16)/12</f>
        <v>3650</v>
      </c>
      <c r="T74" s="46">
        <f>SUM(Calculations!$Q$14:$Q$16)/12</f>
        <v>3650</v>
      </c>
      <c r="U74" s="46">
        <f>SUM(Calculations!$Q$14:$Q$16)/12</f>
        <v>3650</v>
      </c>
      <c r="V74" s="46">
        <f>SUM(Calculations!$Q$14:$Q$16)/12</f>
        <v>3650</v>
      </c>
      <c r="W74" s="46">
        <f>SUM(Calculations!$Q$14:$Q$16)/12</f>
        <v>3650</v>
      </c>
      <c r="X74" s="46">
        <f>SUM(Calculations!$Q$14:$Q$16)/12</f>
        <v>3650</v>
      </c>
      <c r="Y74" s="46">
        <f>SUM(Calculations!$Q$14:$Q$16)/12</f>
        <v>3650</v>
      </c>
      <c r="Z74" s="46">
        <f>SUMIF($B$13:$Y$13,"Yes",B74:Y74)</f>
        <v>0</v>
      </c>
      <c r="AA74" s="46">
        <f>SUM(B74:M74)</f>
        <v>43800</v>
      </c>
      <c r="AB74" s="46">
        <f>SUM(B74:Y74)</f>
        <v>87600</v>
      </c>
    </row>
    <row r="75" spans="1:30">
      <c r="A75" s="16" t="s">
        <v>47</v>
      </c>
      <c r="B75" s="46">
        <f>SUM(Calculations!$R$14:$R$16)/12</f>
        <v>85.33333333333333</v>
      </c>
      <c r="C75" s="46">
        <f>SUM(Calculations!$R$14:$R$16)/12</f>
        <v>85.33333333333333</v>
      </c>
      <c r="D75" s="46">
        <f>SUM(Calculations!$R$14:$R$16)/12</f>
        <v>85.33333333333333</v>
      </c>
      <c r="E75" s="46">
        <f>SUM(Calculations!$R$14:$R$16)/12</f>
        <v>85.33333333333333</v>
      </c>
      <c r="F75" s="46">
        <f>SUM(Calculations!$R$14:$R$16)/12</f>
        <v>85.33333333333333</v>
      </c>
      <c r="G75" s="46">
        <f>SUM(Calculations!$R$14:$R$16)/12</f>
        <v>85.33333333333333</v>
      </c>
      <c r="H75" s="46">
        <f>SUM(Calculations!$R$14:$R$16)/12</f>
        <v>85.33333333333333</v>
      </c>
      <c r="I75" s="46">
        <f>SUM(Calculations!$R$14:$R$16)/12</f>
        <v>85.33333333333333</v>
      </c>
      <c r="J75" s="46">
        <f>SUM(Calculations!$R$14:$R$16)/12</f>
        <v>85.33333333333333</v>
      </c>
      <c r="K75" s="46">
        <f>SUM(Calculations!$R$14:$R$16)/12</f>
        <v>85.33333333333333</v>
      </c>
      <c r="L75" s="46">
        <f>SUM(Calculations!$R$14:$R$16)/12</f>
        <v>85.33333333333333</v>
      </c>
      <c r="M75" s="46">
        <f>SUM(Calculations!$R$14:$R$16)/12</f>
        <v>85.33333333333333</v>
      </c>
      <c r="N75" s="46">
        <f>SUM(Calculations!$R$14:$R$16)/12</f>
        <v>85.33333333333333</v>
      </c>
      <c r="O75" s="46">
        <f>SUM(Calculations!$R$14:$R$16)/12</f>
        <v>85.33333333333333</v>
      </c>
      <c r="P75" s="46">
        <f>SUM(Calculations!$R$14:$R$16)/12</f>
        <v>85.33333333333333</v>
      </c>
      <c r="Q75" s="46">
        <f>SUM(Calculations!$R$14:$R$16)/12</f>
        <v>85.33333333333333</v>
      </c>
      <c r="R75" s="46">
        <f>SUM(Calculations!$R$14:$R$16)/12</f>
        <v>85.33333333333333</v>
      </c>
      <c r="S75" s="46">
        <f>SUM(Calculations!$R$14:$R$16)/12</f>
        <v>85.33333333333333</v>
      </c>
      <c r="T75" s="46">
        <f>SUM(Calculations!$R$14:$R$16)/12</f>
        <v>85.33333333333333</v>
      </c>
      <c r="U75" s="46">
        <f>SUM(Calculations!$R$14:$R$16)/12</f>
        <v>85.33333333333333</v>
      </c>
      <c r="V75" s="46">
        <f>SUM(Calculations!$R$14:$R$16)/12</f>
        <v>85.33333333333333</v>
      </c>
      <c r="W75" s="46">
        <f>SUM(Calculations!$R$14:$R$16)/12</f>
        <v>85.33333333333333</v>
      </c>
      <c r="X75" s="46">
        <f>SUM(Calculations!$R$14:$R$16)/12</f>
        <v>85.33333333333333</v>
      </c>
      <c r="Y75" s="46">
        <f>SUM(Calculations!$R$14:$R$16)/12</f>
        <v>85.33333333333333</v>
      </c>
      <c r="Z75" s="46">
        <f>SUMIF($B$13:$Y$13,"Yes",B75:Y75)</f>
        <v>0</v>
      </c>
      <c r="AA75" s="46">
        <f>SUM(B75:M75)</f>
        <v>1024</v>
      </c>
      <c r="AB75" s="46">
        <f>SUM(B75:Y75)</f>
        <v>2047.999999999999</v>
      </c>
    </row>
    <row r="76" spans="1:30">
      <c r="A76" s="16" t="s">
        <v>48</v>
      </c>
      <c r="B76" s="46">
        <f>SUM(Calculations!$S$14:$S$16)/12</f>
        <v>686.0902255639097</v>
      </c>
      <c r="C76" s="46">
        <f>SUM(Calculations!$S$14:$S$16)/12</f>
        <v>686.0902255639097</v>
      </c>
      <c r="D76" s="46">
        <f>SUM(Calculations!$S$14:$S$16)/12</f>
        <v>686.0902255639097</v>
      </c>
      <c r="E76" s="46">
        <f>SUM(Calculations!$S$14:$S$16)/12</f>
        <v>686.0902255639097</v>
      </c>
      <c r="F76" s="46">
        <f>SUM(Calculations!$S$14:$S$16)/12</f>
        <v>686.0902255639097</v>
      </c>
      <c r="G76" s="46">
        <f>SUM(Calculations!$S$14:$S$16)/12</f>
        <v>686.0902255639097</v>
      </c>
      <c r="H76" s="46">
        <f>SUM(Calculations!$S$14:$S$16)/12</f>
        <v>686.0902255639097</v>
      </c>
      <c r="I76" s="46">
        <f>SUM(Calculations!$S$14:$S$16)/12</f>
        <v>686.0902255639097</v>
      </c>
      <c r="J76" s="46">
        <f>SUM(Calculations!$S$14:$S$16)/12</f>
        <v>686.0902255639097</v>
      </c>
      <c r="K76" s="46">
        <f>SUM(Calculations!$S$14:$S$16)/12</f>
        <v>686.0902255639097</v>
      </c>
      <c r="L76" s="46">
        <f>SUM(Calculations!$S$14:$S$16)/12</f>
        <v>686.0902255639097</v>
      </c>
      <c r="M76" s="46">
        <f>SUM(Calculations!$S$14:$S$16)/12</f>
        <v>686.0902255639097</v>
      </c>
      <c r="N76" s="46">
        <f>SUM(Calculations!$S$14:$S$16)/12</f>
        <v>686.0902255639097</v>
      </c>
      <c r="O76" s="46">
        <f>SUM(Calculations!$S$14:$S$16)/12</f>
        <v>686.0902255639097</v>
      </c>
      <c r="P76" s="46">
        <f>SUM(Calculations!$S$14:$S$16)/12</f>
        <v>686.0902255639097</v>
      </c>
      <c r="Q76" s="46">
        <f>SUM(Calculations!$S$14:$S$16)/12</f>
        <v>686.0902255639097</v>
      </c>
      <c r="R76" s="46">
        <f>SUM(Calculations!$S$14:$S$16)/12</f>
        <v>686.0902255639097</v>
      </c>
      <c r="S76" s="46">
        <f>SUM(Calculations!$S$14:$S$16)/12</f>
        <v>686.0902255639097</v>
      </c>
      <c r="T76" s="46">
        <f>SUM(Calculations!$S$14:$S$16)/12</f>
        <v>686.0902255639097</v>
      </c>
      <c r="U76" s="46">
        <f>SUM(Calculations!$S$14:$S$16)/12</f>
        <v>686.0902255639097</v>
      </c>
      <c r="V76" s="46">
        <f>SUM(Calculations!$S$14:$S$16)/12</f>
        <v>686.0902255639097</v>
      </c>
      <c r="W76" s="46">
        <f>SUM(Calculations!$S$14:$S$16)/12</f>
        <v>686.0902255639097</v>
      </c>
      <c r="X76" s="46">
        <f>SUM(Calculations!$S$14:$S$16)/12</f>
        <v>686.0902255639097</v>
      </c>
      <c r="Y76" s="46">
        <f>SUM(Calculations!$S$14:$S$16)/12</f>
        <v>686.0902255639097</v>
      </c>
      <c r="Z76" s="46">
        <f>SUMIF($B$13:$Y$13,"Yes",B76:Y76)</f>
        <v>0</v>
      </c>
      <c r="AA76" s="46">
        <f>SUM(B76:M76)</f>
        <v>8233.082706766914</v>
      </c>
      <c r="AB76" s="46">
        <f>SUM(B76:Y76)</f>
        <v>16466.16541353384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24527.26683315096</v>
      </c>
      <c r="C81" s="46">
        <f>(SUM($AA$18:$AA$29)-SUM($AA$36,$AA$42,$AA$48,$AA$54,$AA$60,$AA$66,$AA$72:$AA$79))*Parameters!$B$37/12</f>
        <v>24527.26683315096</v>
      </c>
      <c r="D81" s="46">
        <f>(SUM($AA$18:$AA$29)-SUM($AA$36,$AA$42,$AA$48,$AA$54,$AA$60,$AA$66,$AA$72:$AA$79))*Parameters!$B$37/12</f>
        <v>24527.26683315096</v>
      </c>
      <c r="E81" s="46">
        <f>(SUM($AA$18:$AA$29)-SUM($AA$36,$AA$42,$AA$48,$AA$54,$AA$60,$AA$66,$AA$72:$AA$79))*Parameters!$B$37/12</f>
        <v>24527.26683315096</v>
      </c>
      <c r="F81" s="46">
        <f>(SUM($AA$18:$AA$29)-SUM($AA$36,$AA$42,$AA$48,$AA$54,$AA$60,$AA$66,$AA$72:$AA$79))*Parameters!$B$37/12</f>
        <v>24527.26683315096</v>
      </c>
      <c r="G81" s="46">
        <f>(SUM($AA$18:$AA$29)-SUM($AA$36,$AA$42,$AA$48,$AA$54,$AA$60,$AA$66,$AA$72:$AA$79))*Parameters!$B$37/12</f>
        <v>24527.26683315096</v>
      </c>
      <c r="H81" s="46">
        <f>(SUM($AA$18:$AA$29)-SUM($AA$36,$AA$42,$AA$48,$AA$54,$AA$60,$AA$66,$AA$72:$AA$79))*Parameters!$B$37/12</f>
        <v>24527.26683315096</v>
      </c>
      <c r="I81" s="46">
        <f>(SUM($AA$18:$AA$29)-SUM($AA$36,$AA$42,$AA$48,$AA$54,$AA$60,$AA$66,$AA$72:$AA$79))*Parameters!$B$37/12</f>
        <v>24527.26683315096</v>
      </c>
      <c r="J81" s="46">
        <f>(SUM($AA$18:$AA$29)-SUM($AA$36,$AA$42,$AA$48,$AA$54,$AA$60,$AA$66,$AA$72:$AA$79))*Parameters!$B$37/12</f>
        <v>24527.26683315096</v>
      </c>
      <c r="K81" s="46">
        <f>(SUM($AA$18:$AA$29)-SUM($AA$36,$AA$42,$AA$48,$AA$54,$AA$60,$AA$66,$AA$72:$AA$79))*Parameters!$B$37/12</f>
        <v>24527.26683315096</v>
      </c>
      <c r="L81" s="46">
        <f>(SUM($AA$18:$AA$29)-SUM($AA$36,$AA$42,$AA$48,$AA$54,$AA$60,$AA$66,$AA$72:$AA$79))*Parameters!$B$37/12</f>
        <v>24527.26683315096</v>
      </c>
      <c r="M81" s="46">
        <f>(SUM($AA$18:$AA$29)-SUM($AA$36,$AA$42,$AA$48,$AA$54,$AA$60,$AA$66,$AA$72:$AA$79))*Parameters!$B$37/12</f>
        <v>24527.26683315096</v>
      </c>
      <c r="N81" s="46">
        <f>(SUM($AA$18:$AA$29)-SUM($AA$36,$AA$42,$AA$48,$AA$54,$AA$60,$AA$66,$AA$72:$AA$79))*Parameters!$B$37/12</f>
        <v>24527.26683315096</v>
      </c>
      <c r="O81" s="46">
        <f>(SUM($AA$18:$AA$29)-SUM($AA$36,$AA$42,$AA$48,$AA$54,$AA$60,$AA$66,$AA$72:$AA$79))*Parameters!$B$37/12</f>
        <v>24527.26683315096</v>
      </c>
      <c r="P81" s="46">
        <f>(SUM($AA$18:$AA$29)-SUM($AA$36,$AA$42,$AA$48,$AA$54,$AA$60,$AA$66,$AA$72:$AA$79))*Parameters!$B$37/12</f>
        <v>24527.26683315096</v>
      </c>
      <c r="Q81" s="46">
        <f>(SUM($AA$18:$AA$29)-SUM($AA$36,$AA$42,$AA$48,$AA$54,$AA$60,$AA$66,$AA$72:$AA$79))*Parameters!$B$37/12</f>
        <v>24527.26683315096</v>
      </c>
      <c r="R81" s="46">
        <f>(SUM($AA$18:$AA$29)-SUM($AA$36,$AA$42,$AA$48,$AA$54,$AA$60,$AA$66,$AA$72:$AA$79))*Parameters!$B$37/12</f>
        <v>24527.26683315096</v>
      </c>
      <c r="S81" s="46">
        <f>(SUM($AA$18:$AA$29)-SUM($AA$36,$AA$42,$AA$48,$AA$54,$AA$60,$AA$66,$AA$72:$AA$79))*Parameters!$B$37/12</f>
        <v>24527.26683315096</v>
      </c>
      <c r="T81" s="46">
        <f>(SUM($AA$18:$AA$29)-SUM($AA$36,$AA$42,$AA$48,$AA$54,$AA$60,$AA$66,$AA$72:$AA$79))*Parameters!$B$37/12</f>
        <v>24527.26683315096</v>
      </c>
      <c r="U81" s="46">
        <f>(SUM($AA$18:$AA$29)-SUM($AA$36,$AA$42,$AA$48,$AA$54,$AA$60,$AA$66,$AA$72:$AA$79))*Parameters!$B$37/12</f>
        <v>24527.26683315096</v>
      </c>
      <c r="V81" s="46">
        <f>(SUM($AA$18:$AA$29)-SUM($AA$36,$AA$42,$AA$48,$AA$54,$AA$60,$AA$66,$AA$72:$AA$79))*Parameters!$B$37/12</f>
        <v>24527.26683315096</v>
      </c>
      <c r="W81" s="46">
        <f>(SUM($AA$18:$AA$29)-SUM($AA$36,$AA$42,$AA$48,$AA$54,$AA$60,$AA$66,$AA$72:$AA$79))*Parameters!$B$37/12</f>
        <v>24527.26683315096</v>
      </c>
      <c r="X81" s="46">
        <f>(SUM($AA$18:$AA$29)-SUM($AA$36,$AA$42,$AA$48,$AA$54,$AA$60,$AA$66,$AA$72:$AA$79))*Parameters!$B$37/12</f>
        <v>24527.26683315096</v>
      </c>
      <c r="Y81" s="46">
        <f>(SUM($AA$18:$AA$29)-SUM($AA$36,$AA$42,$AA$48,$AA$54,$AA$60,$AA$66,$AA$72:$AA$79))*Parameters!$B$37/12</f>
        <v>24527.26683315096</v>
      </c>
      <c r="Z81" s="46">
        <f>SUMIF($B$13:$Y$13,"Yes",B81:Y81)</f>
        <v>0</v>
      </c>
      <c r="AA81" s="46">
        <f>SUM(B81:M81)</f>
        <v>294327.2019978116</v>
      </c>
      <c r="AB81" s="46">
        <f>SUM(B81:Y81)</f>
        <v>588654.4039956235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52266.69039204821</v>
      </c>
      <c r="C88" s="19">
        <f>SUM(C72:C82,C66,C60,C54,C48,C42,C36)</f>
        <v>40198.69039204821</v>
      </c>
      <c r="D88" s="19">
        <f>SUM(D72:D82,D66,D60,D54,D48,D42,D36)</f>
        <v>48598.69039204821</v>
      </c>
      <c r="E88" s="19">
        <f>SUM(E72:E82,E66,E60,E54,E48,E42,E36)</f>
        <v>51198.69039204821</v>
      </c>
      <c r="F88" s="19">
        <f>SUM(F72:F82,F66,F60,F54,F48,F42,F36)</f>
        <v>39198.69039204821</v>
      </c>
      <c r="G88" s="19">
        <f>SUM(G72:G82,G66,G60,G54,G48,G42,G36)</f>
        <v>43698.69039204821</v>
      </c>
      <c r="H88" s="19">
        <f>SUM(H72:H82,H66,H60,H54,H48,H42,H36)</f>
        <v>52266.69039204821</v>
      </c>
      <c r="I88" s="19">
        <f>SUM(I72:I82,I66,I60,I54,I48,I42,I36)</f>
        <v>40198.69039204821</v>
      </c>
      <c r="J88" s="19">
        <f>SUM(J72:J82,J66,J60,J54,J48,J42,J36)</f>
        <v>48598.69039204821</v>
      </c>
      <c r="K88" s="19">
        <f>SUM(K72:K82,K66,K60,K54,K48,K42,K36)</f>
        <v>51198.69039204821</v>
      </c>
      <c r="L88" s="19">
        <f>SUM(L72:L82,L66,L60,L54,L48,L42,L36)</f>
        <v>39198.69039204821</v>
      </c>
      <c r="M88" s="19">
        <f>SUM(M72:M82,M66,M60,M54,M48,M42,M36)</f>
        <v>43698.69039204821</v>
      </c>
      <c r="N88" s="19">
        <f>SUM(N72:N82,N66,N60,N54,N48,N42,N36)</f>
        <v>52266.69039204821</v>
      </c>
      <c r="O88" s="19">
        <f>SUM(O72:O82,O66,O60,O54,O48,O42,O36)</f>
        <v>40198.69039204821</v>
      </c>
      <c r="P88" s="19">
        <f>SUM(P72:P82,P66,P60,P54,P48,P42,P36)</f>
        <v>48598.69039204821</v>
      </c>
      <c r="Q88" s="19">
        <f>SUM(Q72:Q82,Q66,Q60,Q54,Q48,Q42,Q36)</f>
        <v>51198.69039204821</v>
      </c>
      <c r="R88" s="19">
        <f>SUM(R72:R82,R66,R60,R54,R48,R42,R36)</f>
        <v>39198.69039204821</v>
      </c>
      <c r="S88" s="19">
        <f>SUM(S72:S82,S66,S60,S54,S48,S42,S36)</f>
        <v>43698.69039204821</v>
      </c>
      <c r="T88" s="19">
        <f>SUM(T72:T82,T66,T60,T54,T48,T42,T36)</f>
        <v>52266.69039204821</v>
      </c>
      <c r="U88" s="19">
        <f>SUM(U72:U82,U66,U60,U54,U48,U42,U36)</f>
        <v>40198.69039204821</v>
      </c>
      <c r="V88" s="19">
        <f>SUM(V72:V82,V66,V60,V54,V48,V42,V36)</f>
        <v>48598.69039204821</v>
      </c>
      <c r="W88" s="19">
        <f>SUM(W72:W82,W66,W60,W54,W48,W42,W36)</f>
        <v>51198.69039204821</v>
      </c>
      <c r="X88" s="19">
        <f>SUM(X72:X82,X66,X60,X54,X48,X42,X36)</f>
        <v>39198.69039204821</v>
      </c>
      <c r="Y88" s="19">
        <f>SUM(Y72:Y82,Y66,Y60,Y54,Y48,Y42,Y36)</f>
        <v>43698.69039204821</v>
      </c>
      <c r="Z88" s="19">
        <f>SUMIF($B$13:$Y$13,"Yes",B88:Y88)</f>
        <v>0</v>
      </c>
      <c r="AA88" s="19">
        <f>SUM(B88:M88)</f>
        <v>550320.2847045785</v>
      </c>
      <c r="AB88" s="19">
        <f>SUM(B88:Y88)</f>
        <v>1100640.569409157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54000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54000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/>
      </c>
    </row>
    <row r="107" spans="1:30" customHeight="1" ht="15.75">
      <c r="A107" s="1" t="s">
        <v>72</v>
      </c>
      <c r="B107" s="19">
        <f>SUM(B104:B106)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120</v>
      </c>
      <c r="D19" s="145">
        <v>80</v>
      </c>
      <c r="E19" s="20"/>
      <c r="F19" s="145" t="s">
        <v>92</v>
      </c>
      <c r="G19" s="20"/>
      <c r="H19" s="20"/>
      <c r="I19" s="145" t="s">
        <v>113</v>
      </c>
      <c r="J19" s="145">
        <v>10</v>
      </c>
      <c r="K19" s="145">
        <v>5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/>
    </row>
    <row r="27" spans="1:48">
      <c r="A27" s="14" t="s">
        <v>116</v>
      </c>
    </row>
    <row r="29" spans="1:48">
      <c r="A29" s="45" t="s">
        <v>117</v>
      </c>
      <c r="B29" s="156"/>
    </row>
    <row r="30" spans="1:48">
      <c r="A30" s="44" t="s">
        <v>118</v>
      </c>
      <c r="B30" s="157"/>
    </row>
    <row r="31" spans="1:48">
      <c r="A31" s="5" t="s">
        <v>119</v>
      </c>
      <c r="B31" s="158"/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/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/>
    </row>
    <row r="44" spans="1:48">
      <c r="A44" s="56" t="s">
        <v>130</v>
      </c>
      <c r="B44" s="160"/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/>
    </row>
    <row r="47" spans="1:48" customHeight="1" ht="30">
      <c r="A47" s="57" t="s">
        <v>133</v>
      </c>
      <c r="B47" s="161"/>
    </row>
    <row r="48" spans="1:48" customHeight="1" ht="30">
      <c r="A48" s="57" t="s">
        <v>134</v>
      </c>
      <c r="B48" s="161"/>
    </row>
    <row r="49" spans="1:48" customHeight="1" ht="30">
      <c r="A49" s="57" t="s">
        <v>135</v>
      </c>
      <c r="B49" s="161"/>
    </row>
    <row r="50" spans="1:48">
      <c r="A50" s="43"/>
      <c r="B50" s="36"/>
    </row>
    <row r="51" spans="1:48">
      <c r="A51" s="58" t="s">
        <v>136</v>
      </c>
      <c r="B51" s="161"/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145</v>
      </c>
      <c r="C65" s="10" t="s">
        <v>146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/>
    </row>
    <row r="82" spans="1:48">
      <c r="A82" t="s">
        <v>155</v>
      </c>
      <c r="B82" s="161"/>
    </row>
    <row r="83" spans="1:48">
      <c r="A83" t="s">
        <v>156</v>
      </c>
      <c r="B83" s="169"/>
    </row>
    <row r="84" spans="1:48">
      <c r="A84" t="s">
        <v>157</v>
      </c>
      <c r="B84" s="169"/>
    </row>
    <row r="85" spans="1:48">
      <c r="A85" t="s">
        <v>158</v>
      </c>
      <c r="B85" s="169"/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42887</v>
      </c>
      <c r="D4" s="38">
        <f>IFERROR(DATE(YEAR(B4),MONTH(B4)+T4,DAY(B4)),"")</f>
        <v>42917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43101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42795</v>
      </c>
      <c r="D5" s="39">
        <f>IFERROR(DATE(YEAR(B5),MONTH(B5)+T5,DAY(B5)),"")</f>
        <v>42826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42979</v>
      </c>
      <c r="G5" s="39">
        <f>IFERROR(IF($S5=0,"",IF($S5=2,DATE(YEAR(D5),MONTH(D5)+6,DAY(D5)),IF($S5=1,D5,""))),"")</f>
        <v>43009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7207.992377007091</v>
      </c>
      <c r="M5" s="30">
        <f>L5*H5</f>
        <v>21623.97713102127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544924.2237017362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1818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120</v>
      </c>
      <c r="E14" s="16">
        <f>Inputs!D19</f>
        <v>80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110652.6315789474</v>
      </c>
      <c r="Q14" s="63">
        <f>IFERROR(D14*INDEX(Parameters!$A$22:$P$29,MATCH(Calculations!$A14,Parameters!$A$22:$A$29,0),MATCH(Parameters!$L$22,Parameters!$A$22:$P$22,0))*IF(Inputs!I19="Always",1,IF(Inputs!I19="Sometimes",0.5,0))*365,"")</f>
        <v>43800</v>
      </c>
      <c r="R14" s="63">
        <f>IFERROR(D14*INDEX(Parameters!$A$22:$P$29,MATCH(Calculations!$A14,Parameters!$A$22:$A$29,0),MATCH(Parameters!$M$22,Parameters!$A$22:$P$22,0)),"")</f>
        <v>1024</v>
      </c>
      <c r="S14" s="63">
        <f>IFERROR(D14*INDEX(Parameters!$A$22:$P$29,MATCH(Calculations!$A14,Parameters!$A$22:$A$29,0),MATCH(Parameters!$N$22,Parameters!$A$22:$P$22,0)),"")</f>
        <v>8233.082706766916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21000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42760</v>
      </c>
      <c r="C33" s="27" t="str">
        <f>IF(B33&lt;&gt;"",IF(COUNT($A$33:A33)&lt;=$G$39,0,$G$41)+IF(COUNT($A$33:A33)&lt;=$G$40,0,$G$42),0)</f>
        <v>0</v>
      </c>
      <c r="D33" s="170">
        <f>IFERROR(DATE(YEAR(B33),MONTH(B33),1)," ")</f>
        <v>42736</v>
      </c>
      <c r="F33" t="s">
        <v>152</v>
      </c>
      <c r="G33" s="128">
        <f>IF(Inputs!B79="","",DATE(YEAR(Inputs!B79),MONTH(Inputs!B79),DAY(Inputs!B79)))</f>
        <v>42760</v>
      </c>
      <c r="J33" s="43"/>
    </row>
    <row r="34" spans="1:52">
      <c r="A34">
        <f>A33+1</f>
        <v>2</v>
      </c>
      <c r="B34" s="128" t="str">
        <f>IFERROR(IF(COUNT($A$33:A34)&lt;=$G$38,IF($G$37="Monthly",DATE(YEAR(B33),MONTH(B33)+1,MIN(DAY(B33),28)),B33+14),""),"")</f>
        <v/>
      </c>
      <c r="C34" s="27">
        <f>IF(B34&lt;&gt;"",IF(COUNT($A$33:A34)&lt;=$G$39,0,$G$41)+IF(COUNT($A$33:A34)&lt;=$G$40,0,$G$42),0)</f>
        <v>0</v>
      </c>
      <c r="D34" s="170" t="str">
        <f>IFERROR(DATE(YEAR(B34),MONTH(B34),1)," ")</f>
        <v> </v>
      </c>
      <c r="F34" t="s">
        <v>153</v>
      </c>
      <c r="G34" s="128">
        <f>IF(Inputs!B80="","",DATE(YEAR(Inputs!B80),MONTH(Inputs!B80),DAY(Inputs!B80)))</f>
        <v>42760</v>
      </c>
    </row>
    <row r="35" spans="1:52">
      <c r="A35">
        <f>A34+1</f>
        <v>3</v>
      </c>
      <c r="B35" s="128" t="str">
        <f>IFERROR(IF(COUNT($A$33:A35)&lt;=$G$38,IF($G$37="Monthly",DATE(YEAR(B34),MONTH(B34)+1,MIN(DAY(B34),28)),B34+14),""),"")</f>
        <v/>
      </c>
      <c r="C35" s="27">
        <f>IF(B35&lt;&gt;"",IF(COUNT($A$33:A35)&lt;=$G$39,0,$G$41)+IF(COUNT($A$33:A35)&lt;=$G$40,0,$G$42),0)</f>
        <v>0</v>
      </c>
      <c r="D35" s="170" t="str">
        <f>IFERROR(DATE(YEAR(B35),MONTH(B35),1)," ")</f>
        <v> </v>
      </c>
      <c r="F35" t="s">
        <v>154</v>
      </c>
      <c r="G35" s="27">
        <f>Inputs!B81</f>
        <v/>
      </c>
    </row>
    <row r="36" spans="1:52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155</v>
      </c>
      <c r="G36" s="130">
        <f>Inputs!B82/100</f>
        <v>0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/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216</v>
      </c>
      <c r="G38" s="27" t="str">
        <f>IFERROR(Inputs!B85/Inputs!B84,"")</f>
        <v/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217</v>
      </c>
      <c r="G41" s="73" t="str">
        <f>IFERROR(G35/(G38-G39),"")</f>
        <v/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218</v>
      </c>
      <c r="G42" s="73" t="str">
        <f>IFERROR(G35*G36*IF(G37="Monthly",G38/12,IF(G37="Fortnightly",G38/(365/14),G38/(365/28)))/(G38-G40),"")</f>
        <v/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191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112</v>
      </c>
      <c r="B23" s="21" t="s">
        <v>282</v>
      </c>
      <c r="C23" s="72" t="s">
        <v>283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284</v>
      </c>
      <c r="B24" s="21" t="s">
        <v>285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286</v>
      </c>
      <c r="B25" s="16" t="s">
        <v>287</v>
      </c>
      <c r="C25" s="30" t="s">
        <v>288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289</v>
      </c>
      <c r="B26" s="16" t="s">
        <v>285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290</v>
      </c>
      <c r="B27" s="71" t="s">
        <v>285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291</v>
      </c>
      <c r="B28" s="71" t="s">
        <v>285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292</v>
      </c>
      <c r="B29" s="118" t="s">
        <v>285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293</v>
      </c>
      <c r="B30" s="70" t="s">
        <v>285</v>
      </c>
    </row>
    <row r="31" spans="1:36">
      <c r="H31" s="86"/>
      <c r="I31" s="86"/>
      <c r="AI31" s="12"/>
    </row>
    <row r="32" spans="1:36">
      <c r="A32" s="3" t="s">
        <v>294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295</v>
      </c>
      <c r="B34" s="11" t="s">
        <v>296</v>
      </c>
    </row>
    <row r="35" spans="1:36">
      <c r="A35" t="s">
        <v>297</v>
      </c>
      <c r="B35" s="72">
        <v>60</v>
      </c>
      <c r="C35" s="86"/>
    </row>
    <row r="36" spans="1:36">
      <c r="A36" t="s">
        <v>298</v>
      </c>
      <c r="B36" s="72">
        <v>2000</v>
      </c>
      <c r="C36" s="86"/>
    </row>
    <row r="37" spans="1:36">
      <c r="A37" t="s">
        <v>299</v>
      </c>
      <c r="B37" s="2">
        <v>0.4</v>
      </c>
    </row>
    <row r="39" spans="1:36">
      <c r="A39" s="3" t="s">
        <v>300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301</v>
      </c>
      <c r="C40" s="193"/>
    </row>
    <row r="41" spans="1:36">
      <c r="A41" s="5" t="s">
        <v>100</v>
      </c>
      <c r="B41" s="191" t="s">
        <v>97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284</v>
      </c>
      <c r="B43" s="72">
        <v>450</v>
      </c>
      <c r="C43" s="72">
        <v>250</v>
      </c>
    </row>
    <row r="44" spans="1:36">
      <c r="A44" t="s">
        <v>286</v>
      </c>
      <c r="B44" s="72">
        <v>50000</v>
      </c>
      <c r="C44" s="72">
        <v>200000</v>
      </c>
    </row>
    <row r="45" spans="1:36">
      <c r="A45" t="s">
        <v>289</v>
      </c>
      <c r="B45" s="72">
        <v>25000</v>
      </c>
      <c r="C45" s="72">
        <v>50000</v>
      </c>
    </row>
    <row r="46" spans="1:36">
      <c r="A46" t="s">
        <v>290</v>
      </c>
      <c r="B46" s="72">
        <v>6000</v>
      </c>
      <c r="C46" s="72">
        <v>12000</v>
      </c>
    </row>
    <row r="47" spans="1:36">
      <c r="A47" t="s">
        <v>291</v>
      </c>
      <c r="B47" s="72">
        <v>4500</v>
      </c>
      <c r="C47" s="72">
        <v>12000</v>
      </c>
    </row>
    <row r="48" spans="1:36">
      <c r="A48" t="s">
        <v>292</v>
      </c>
      <c r="B48" s="72">
        <v>20000</v>
      </c>
      <c r="C48" s="72">
        <v>20000</v>
      </c>
      <c r="D48" s="72"/>
    </row>
    <row r="50" spans="1:36">
      <c r="A50" s="3" t="s">
        <v>302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303</v>
      </c>
      <c r="H52" s="12" t="s">
        <v>304</v>
      </c>
      <c r="I52" s="12" t="s">
        <v>305</v>
      </c>
      <c r="AJ52" s="12"/>
    </row>
    <row r="53" spans="1:36" customHeight="1" ht="30">
      <c r="A53" s="11" t="s">
        <v>306</v>
      </c>
      <c r="B53" s="11" t="s">
        <v>307</v>
      </c>
      <c r="C53" s="11" t="s">
        <v>308</v>
      </c>
      <c r="D53" s="10" t="s">
        <v>219</v>
      </c>
      <c r="E53" s="10" t="s">
        <v>178</v>
      </c>
      <c r="F53" s="10" t="s">
        <v>238</v>
      </c>
      <c r="G53" s="10" t="s">
        <v>309</v>
      </c>
      <c r="H53" s="10" t="s">
        <v>310</v>
      </c>
      <c r="I53" s="10" t="s">
        <v>310</v>
      </c>
      <c r="AJ53" s="12"/>
    </row>
    <row r="54" spans="1:36">
      <c r="A54">
        <v>8</v>
      </c>
      <c r="B54" s="12" t="s">
        <v>311</v>
      </c>
      <c r="C54" s="12" t="s">
        <v>312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313</v>
      </c>
      <c r="C55" s="12" t="s">
        <v>312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314</v>
      </c>
      <c r="C56" s="116" t="s">
        <v>315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316</v>
      </c>
      <c r="C57" s="116" t="s">
        <v>312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317</v>
      </c>
      <c r="C58" s="116" t="s">
        <v>312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318</v>
      </c>
      <c r="C59" s="116" t="s">
        <v>315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319</v>
      </c>
      <c r="C60" s="116" t="s">
        <v>315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320</v>
      </c>
      <c r="C61" s="116" t="s">
        <v>315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321</v>
      </c>
      <c r="C62" s="116" t="s">
        <v>315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322</v>
      </c>
      <c r="C63" s="116" t="s">
        <v>315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323</v>
      </c>
      <c r="C64" s="116" t="s">
        <v>315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324</v>
      </c>
      <c r="C65" s="12" t="s">
        <v>315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325</v>
      </c>
      <c r="C66" s="12" t="s">
        <v>315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326</v>
      </c>
      <c r="C67" s="12" t="s">
        <v>315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327</v>
      </c>
      <c r="C68" s="12" t="s">
        <v>315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328</v>
      </c>
      <c r="C69" s="12" t="s">
        <v>315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329</v>
      </c>
      <c r="C70" s="12" t="s">
        <v>315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330</v>
      </c>
      <c r="C71" s="12" t="s">
        <v>312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332</v>
      </c>
      <c r="B76" s="11" t="s">
        <v>333</v>
      </c>
      <c r="C76" s="11" t="s">
        <v>334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215</v>
      </c>
      <c r="J76" s="11" t="s">
        <v>339</v>
      </c>
      <c r="K76" s="11" t="s">
        <v>168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97</v>
      </c>
      <c r="F77" s="12" t="s">
        <v>97</v>
      </c>
      <c r="G77" s="12" t="s">
        <v>341</v>
      </c>
      <c r="H77" s="12" t="s">
        <v>304</v>
      </c>
      <c r="I77" s="12" t="s">
        <v>342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343</v>
      </c>
      <c r="D78" s="133"/>
      <c r="E78" s="12" t="s">
        <v>344</v>
      </c>
      <c r="F78" s="12" t="s">
        <v>93</v>
      </c>
      <c r="G78" s="12" t="s">
        <v>345</v>
      </c>
      <c r="H78" s="12" t="s">
        <v>305</v>
      </c>
      <c r="I78" s="12" t="s">
        <v>346</v>
      </c>
      <c r="J78" s="70" t="s">
        <v>347</v>
      </c>
      <c r="K78" s="12" t="s">
        <v>97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348</v>
      </c>
      <c r="F79" s="12" t="s">
        <v>349</v>
      </c>
      <c r="G79" s="12" t="s">
        <v>113</v>
      </c>
      <c r="I79" s="12" t="s">
        <v>334</v>
      </c>
      <c r="J79" s="70" t="s">
        <v>350</v>
      </c>
      <c r="K79" s="12" t="s">
        <v>97</v>
      </c>
      <c r="AJ79" s="12"/>
    </row>
    <row r="80" spans="1:36">
      <c r="B80" s="176">
        <v>20</v>
      </c>
      <c r="C80" s="12" t="s">
        <v>351</v>
      </c>
      <c r="D80" s="12">
        <f>D79+1</f>
        <v>2</v>
      </c>
      <c r="E80" s="12" t="s">
        <v>352</v>
      </c>
      <c r="F80" s="12" t="s">
        <v>353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354</v>
      </c>
      <c r="D81" s="12">
        <f>D80+1</f>
        <v>3</v>
      </c>
      <c r="J81" s="70" t="s">
        <v>355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356</v>
      </c>
      <c r="D83" s="12">
        <f>D82+1</f>
        <v>5</v>
      </c>
    </row>
    <row r="84" spans="1:36">
      <c r="B84" s="176">
        <v>60</v>
      </c>
      <c r="C84" s="12" t="s">
        <v>357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