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<sst xmlns="http://schemas.openxmlformats.org/spreadsheetml/2006/main" uniqueCount="366">
  <si>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</si>
  <si>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</si>
  <si>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</si>
  <si>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</si>
  <si>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</si>
  <si>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</si>
  <si>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</si>
  <si>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</si>
  <si>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</si>
  <si>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</si>
  <si>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</si>
  <si>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</si>
  <si>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</si>
  <si>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</si>
  <si>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</si>
  <si>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</si>
  <si>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</si>
  <si>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</si>
  <si>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</si>
  <si>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</si>
  <si>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</si>
  <si>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</si>
  <si>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</si>
  <si>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</si>
  <si>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</si>
  <si>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</si>
  <si>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</si>
  <si>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</si>
  <si>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</si>
  <si>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</si>
  <si>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</si>
  <si>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</si>
  <si>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</si>
  <si>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</si>
  <si>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</si>
  <si>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</si>
  <si>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</si>
  <si>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</si>
  <si>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</si>
  <si>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</si>
  <si>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</si>
  <si>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</si>
  <si>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</si>
  <si>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</si>
  <si>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</si>
  <si>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</si>
  <si>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</si>
  <si>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</si>
  <si>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</si>
  <si>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</si>
  <si>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</si>
  <si>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</si>
  <si>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</si>
  <si>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</si>
  <si>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</si>
  <si>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</si>
  <si>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</si>
  <si>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</si>
  <si>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</si>
  <si>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</si>
  <si>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</si>
  <si>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</si>
  <si>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</si>
  <si>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</si>
  <si>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</si>
  <si>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</si>
  <si>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</si>
  <si>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</si>
  <si>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</si>
  <si>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</si>
  <si>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</si>
  <si>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</si>
  <si>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</si>
  <si>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</si>
  <si>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</si>
  <si>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</si>
  <si>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</si>
  <si>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</si>
  <si>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</si>
  <si>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</si>
  <si>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</si>
  <si>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</si>
  <si>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</si>
  <si>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</si>
  <si>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</si>
  <si>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</si>
  <si>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</si>
  <si>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</si>
  <si>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</si>
  <si>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</si>
  <si>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</si>
  <si>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</si>
  <si>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</si>
  <si>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</si>
  <si>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February</t>
  </si>
  <si>
    <t>Tomatoes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</si>
  <si>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</si>
  <si>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</si>
  <si>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</si>
  <si>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</si>
  <si>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</si>
  <si>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</si>
  <si>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</si>
  <si>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</si>
  <si>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</si>
  <si>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</si>
  <si>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</si>
  <si>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</si>
  <si>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</si>
  <si>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</si>
  <si>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</si>
  <si>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</si>
  <si>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</si>
  <si>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</si>
  <si>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</si>
  <si>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</si>
  <si>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</si>
  <si>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</si>
  <si>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</si>
  <si>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</si>
  <si>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</si>
  <si>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</si>
  <si>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</si>
  <si>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</si>
  <si>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</si>
  <si>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</si>
  <si>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</si>
  <si>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</si>
  <si>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</si>
  <si>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</si>
  <si>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</si>
  <si>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</si>
  <si>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</si>
  <si>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</si>
  <si>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</si>
  <si>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</si>
  <si>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</si>
  <si>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</si>
  <si>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</si>
  <si>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</si>
  <si>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</si>
  <si>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</si>
  <si>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</si>
  <si>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</si>
  <si>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</si>
  <si>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</si>
  <si>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</si>
  <si>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</si>
  <si>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</si>
  <si>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</si>
  <si>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</si>
  <si>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</si>
  <si>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</si>
  <si>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</si>
  <si>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</si>
  <si>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2017/1/26</t>
  </si>
  <si>
    <t>Loan terms</t>
  </si>
  <si>
    <t>Expected disbursement date</t>
  </si>
  <si>
    <t>Expected first repayment date</t>
  </si>
  <si>
    <t>2017/2/26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</si>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</sst>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November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0.0858839902439921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0.05665024630541872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1401825.609698017</v>
      </c>
    </row>
    <row r="18" spans="1:7">
      <c r="B18" s="1" t="s">
        <v>12</v>
      </c>
      <c r="C18" s="36">
        <f>MIN(Output!B6:M6)</f>
        <v>-227679.2005387787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1425009.268822016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1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-127879.2005387788</v>
      </c>
      <c r="C6" s="51">
        <f>C30-C88</f>
        <v>-187679.2005387787</v>
      </c>
      <c r="D6" s="51">
        <f>D30-D88</f>
        <v>-167679.2005387787</v>
      </c>
      <c r="E6" s="51">
        <f>E30-E88</f>
        <v>-227679.2005387787</v>
      </c>
      <c r="F6" s="51">
        <f>F30-F88</f>
        <v>1425009.268822016</v>
      </c>
      <c r="G6" s="51">
        <f>G30-G88</f>
        <v>-38179.66181789263</v>
      </c>
      <c r="H6" s="51">
        <f>H30-H88</f>
        <v>-77879.20053877875</v>
      </c>
      <c r="I6" s="51">
        <f>I30-I88</f>
        <v>-187679.2005387787</v>
      </c>
      <c r="J6" s="51">
        <f>J30-J88</f>
        <v>-167679.2005387787</v>
      </c>
      <c r="K6" s="51">
        <f>K30-K88</f>
        <v>-227679.2005387787</v>
      </c>
      <c r="L6" s="51">
        <f>L30-L88</f>
        <v>1425009.268822016</v>
      </c>
      <c r="M6" s="51">
        <f>M30-M88</f>
        <v>-38179.66181789263</v>
      </c>
      <c r="N6" s="51">
        <f>N30-N88</f>
        <v>-127879.2005387788</v>
      </c>
      <c r="O6" s="51">
        <f>O30-O88</f>
        <v>-187679.2005387787</v>
      </c>
      <c r="P6" s="51">
        <f>P30-P88</f>
        <v>-167679.2005387787</v>
      </c>
      <c r="Q6" s="51">
        <f>Q30-Q88</f>
        <v>-227679.2005387787</v>
      </c>
      <c r="R6" s="51">
        <f>R30-R88</f>
        <v>1425009.268822016</v>
      </c>
      <c r="S6" s="51">
        <f>S30-S88</f>
        <v>-38179.66181789263</v>
      </c>
      <c r="T6" s="51">
        <f>T30-T88</f>
        <v>-77879.20053877875</v>
      </c>
      <c r="U6" s="51">
        <f>U30-U88</f>
        <v>-187679.2005387787</v>
      </c>
      <c r="V6" s="51">
        <f>V30-V88</f>
        <v>-167679.2005387787</v>
      </c>
      <c r="W6" s="51">
        <f>W30-W88</f>
        <v>-227679.2005387787</v>
      </c>
      <c r="X6" s="51">
        <f>X30-X88</f>
        <v>1425009.268822016</v>
      </c>
      <c r="Y6" s="51">
        <f>Y30-Y88</f>
        <v>-38179.66181789263</v>
      </c>
      <c r="Z6" s="51">
        <f>SUMIF($B$13:$Y$13,"Yes",B6:Y6)</f>
        <v>1273946.409159238</v>
      </c>
      <c r="AA6" s="51">
        <f>AA30-AA88</f>
        <v>1401825.609698018</v>
      </c>
      <c r="AB6" s="51">
        <f>AB30-AB88</f>
        <v>2803651.219396036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-50000</v>
      </c>
      <c r="D7" s="80">
        <f>IF(ISERROR(VLOOKUP(MONTH(D5),Inputs!$D$66:$D$71,1,0)),"",INDEX(Inputs!$B$66:$B$71,MATCH(MONTH(Output!D5),Inputs!$D$66:$D$71,0))-INDEX(Inputs!$C$66:$C$71,MATCH(MONTH(Output!D5),Inputs!$D$66:$D$71,0)))</f>
        <v>-30000</v>
      </c>
      <c r="E7" s="80">
        <f>IF(ISERROR(VLOOKUP(MONTH(E5),Inputs!$D$66:$D$71,1,0)),"",INDEX(Inputs!$B$66:$B$71,MATCH(MONTH(Output!E5),Inputs!$D$66:$D$71,0))-INDEX(Inputs!$C$66:$C$71,MATCH(MONTH(Output!E5),Inputs!$D$66:$D$71,0)))</f>
        <v>-15000</v>
      </c>
      <c r="F7" s="80">
        <f>IF(ISERROR(VLOOKUP(MONTH(F5),Inputs!$D$66:$D$71,1,0)),"",INDEX(Inputs!$B$66:$B$71,MATCH(MONTH(Output!F5),Inputs!$D$66:$D$71,0))-INDEX(Inputs!$C$66:$C$71,MATCH(MONTH(Output!F5),Inputs!$D$66:$D$71,0)))</f>
        <v>-15000</v>
      </c>
      <c r="G7" s="80">
        <f>IF(ISERROR(VLOOKUP(MONTH(G5),Inputs!$D$66:$D$71,1,0)),"",INDEX(Inputs!$B$66:$B$71,MATCH(MONTH(Output!G5),Inputs!$D$66:$D$71,0))-INDEX(Inputs!$C$66:$C$71,MATCH(MONTH(Output!G5),Inputs!$D$66:$D$71,0)))</f>
        <v>-15000</v>
      </c>
      <c r="H7" s="80">
        <f>IF(ISERROR(VLOOKUP(MONTH(H5),Inputs!$D$66:$D$71,1,0)),"",INDEX(Inputs!$B$66:$B$71,MATCH(MONTH(Output!H5),Inputs!$D$66:$D$71,0))-INDEX(Inputs!$C$66:$C$71,MATCH(MONTH(Output!H5),Inputs!$D$66:$D$71,0)))</f>
        <v>180000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-50000</v>
      </c>
      <c r="P7" s="80">
        <f>IF(ISERROR(VLOOKUP(MONTH(P5),Inputs!$D$66:$D$71,1,0)),"",INDEX(Inputs!$B$66:$B$71,MATCH(MONTH(Output!P5),Inputs!$D$66:$D$71,0))-INDEX(Inputs!$C$66:$C$71,MATCH(MONTH(Output!P5),Inputs!$D$66:$D$71,0)))</f>
        <v>-30000</v>
      </c>
      <c r="Q7" s="80">
        <f>IF(ISERROR(VLOOKUP(MONTH(Q5),Inputs!$D$66:$D$71,1,0)),"",INDEX(Inputs!$B$66:$B$71,MATCH(MONTH(Output!Q5),Inputs!$D$66:$D$71,0))-INDEX(Inputs!$C$66:$C$71,MATCH(MONTH(Output!Q5),Inputs!$D$66:$D$71,0)))</f>
        <v>-15000</v>
      </c>
      <c r="R7" s="80">
        <f>IF(ISERROR(VLOOKUP(MONTH(R5),Inputs!$D$66:$D$71,1,0)),"",INDEX(Inputs!$B$66:$B$71,MATCH(MONTH(Output!R5),Inputs!$D$66:$D$71,0))-INDEX(Inputs!$C$66:$C$71,MATCH(MONTH(Output!R5),Inputs!$D$66:$D$71,0)))</f>
        <v>-15000</v>
      </c>
      <c r="S7" s="80">
        <f>IF(ISERROR(VLOOKUP(MONTH(S5),Inputs!$D$66:$D$71,1,0)),"",INDEX(Inputs!$B$66:$B$71,MATCH(MONTH(Output!S5),Inputs!$D$66:$D$71,0))-INDEX(Inputs!$C$66:$C$71,MATCH(MONTH(Output!S5),Inputs!$D$66:$D$71,0)))</f>
        <v>-15000</v>
      </c>
      <c r="T7" s="80">
        <f>IF(ISERROR(VLOOKUP(MONTH(T5),Inputs!$D$66:$D$71,1,0)),"",INDEX(Inputs!$B$66:$B$71,MATCH(MONTH(Output!T5),Inputs!$D$66:$D$71,0))-INDEX(Inputs!$C$66:$C$71,MATCH(MONTH(Output!T5),Inputs!$D$66:$D$71,0)))</f>
        <v>180000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-27879.20053877875</v>
      </c>
      <c r="C11" s="80">
        <f>C6+C9-C10</f>
        <v>-189179.2005387787</v>
      </c>
      <c r="D11" s="80">
        <f>D6+D9-D10</f>
        <v>-169179.2005387787</v>
      </c>
      <c r="E11" s="80">
        <f>E6+E9-E10</f>
        <v>-229179.2005387787</v>
      </c>
      <c r="F11" s="80">
        <f>F6+F9-F10</f>
        <v>1423509.268822016</v>
      </c>
      <c r="G11" s="80">
        <f>G6+G9-G10</f>
        <v>-39679.66181789263</v>
      </c>
      <c r="H11" s="80">
        <f>H6+H9-H10</f>
        <v>-93664.91482449304</v>
      </c>
      <c r="I11" s="80">
        <f>I6+I9-I10</f>
        <v>-203464.914824493</v>
      </c>
      <c r="J11" s="80">
        <f>J6+J9-J10</f>
        <v>-183464.914824493</v>
      </c>
      <c r="K11" s="80">
        <f>K6+K9-K10</f>
        <v>-243464.914824493</v>
      </c>
      <c r="L11" s="80">
        <f>L6+L9-L10</f>
        <v>1409223.554536302</v>
      </c>
      <c r="M11" s="80">
        <f>M6+M9-M10</f>
        <v>-53965.37610360692</v>
      </c>
      <c r="N11" s="80">
        <f>N6+N9-N10</f>
        <v>-143664.914824493</v>
      </c>
      <c r="O11" s="80">
        <f>O6+O9-O10</f>
        <v>-187679.2005387787</v>
      </c>
      <c r="P11" s="80">
        <f>P6+P9-P10</f>
        <v>-167679.2005387787</v>
      </c>
      <c r="Q11" s="80">
        <f>Q6+Q9-Q10</f>
        <v>-227679.2005387787</v>
      </c>
      <c r="R11" s="80">
        <f>R6+R9-R10</f>
        <v>1425009.268822016</v>
      </c>
      <c r="S11" s="80">
        <f>S6+S9-S10</f>
        <v>-38179.66181789263</v>
      </c>
      <c r="T11" s="80">
        <f>T6+T9-T10</f>
        <v>-77879.20053877875</v>
      </c>
      <c r="U11" s="80">
        <f>U6+U9-U10</f>
        <v>-187679.2005387787</v>
      </c>
      <c r="V11" s="80">
        <f>V6+V9-V10</f>
        <v>-167679.2005387787</v>
      </c>
      <c r="W11" s="80">
        <f>W6+W9-W10</f>
        <v>-227679.2005387787</v>
      </c>
      <c r="X11" s="80">
        <f>X6+X9-X10</f>
        <v>1425009.268822016</v>
      </c>
      <c r="Y11" s="80">
        <f>Y6+Y9-Y10</f>
        <v>-38179.66181789263</v>
      </c>
      <c r="Z11" s="85">
        <f>SUMIF($B$13:$Y$13,"Yes",B11:Y11)</f>
        <v>1255946.409159238</v>
      </c>
      <c r="AA11" s="80">
        <f>SUM(B11:M11)</f>
        <v>1399611.323983731</v>
      </c>
      <c r="AB11" s="46">
        <f>SUM(B11:Y11)</f>
        <v>2785651.219396035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0.007370170153478394</v>
      </c>
      <c r="G12" s="82">
        <f>IF(G13="Yes",IF(SUM($B$10:G10)/(SUM($B$6:G6)+SUM($B$9:G9))&lt;0,999.99,SUM($B$10:G10)/(SUM($B$6:G6)+SUM($B$9:G9))),"")</f>
        <v>0.009666034576474723</v>
      </c>
      <c r="H12" s="82">
        <f>IF(H13="Yes",IF(SUM($B$10:H10)/(SUM($B$6:H6)+SUM($B$9:H9))&lt;0,999.99,SUM($B$10:H10)/(SUM($B$6:H6)+SUM($B$9:H9))),"")</f>
        <v>0.03335901615900619</v>
      </c>
      <c r="I12" s="82">
        <f>IF(I13="Yes",IF(SUM($B$10:I10)/(SUM($B$6:I6)+SUM($B$9:I9))&lt;0,999.99,SUM($B$10:I10)/(SUM($B$6:I6)+SUM($B$9:I9))),"")</f>
        <v>0.07655744377376961</v>
      </c>
      <c r="J12" s="82">
        <f>IF(J13="Yes",IF(SUM($B$10:J10)/(SUM($B$6:J6)+SUM($B$9:J9))&lt;0,999.99,SUM($B$10:J10)/(SUM($B$6:J6)+SUM($B$9:J9))),"")</f>
        <v>0.1600849502375447</v>
      </c>
      <c r="K12" s="82">
        <f>IF(K13="Yes",IF(SUM($B$10:K10)/(SUM($B$6:K6)+SUM($B$9:K9))&lt;0,999.99,SUM($B$10:K10)/(SUM($B$6:K6)+SUM($B$9:K9))),"")</f>
        <v>0.6143070670978059</v>
      </c>
      <c r="L12" s="82">
        <f>IF(L13="Yes",IF(SUM($B$10:L10)/(SUM($B$6:L6)+SUM($B$9:L9))&lt;0,999.99,SUM($B$10:L10)/(SUM($B$6:L6)+SUM($B$9:L9))),"")</f>
        <v>0.05612225686961133</v>
      </c>
      <c r="M12" s="82">
        <f>IF(M13="Yes",IF(SUM($B$10:M10)/(SUM($B$6:M6)+SUM($B$9:M9))&lt;0,999.99,SUM($B$10:M10)/(SUM($B$6:M6)+SUM($B$9:M9))),"")</f>
        <v>0.06806002311735694</v>
      </c>
      <c r="N12" s="82">
        <f>IF(N13="Yes",IF(SUM($B$10:N10)/(SUM($B$6:N6)+SUM($B$9:N9))&lt;0,999.99,SUM($B$10:N10)/(SUM($B$6:N6)+SUM($B$9:N9))),"")</f>
        <v>0.0858839902439921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58499.53872088612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58499.53872088612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58499.53872088612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58499.53872088612</v>
      </c>
      <c r="Z18" s="36">
        <f>SUMIF($B$13:$Y$13,"Yes",B18:Y18)</f>
        <v>116999.0774417722</v>
      </c>
      <c r="AA18" s="36">
        <f>SUM(B18:M18)</f>
        <v>116999.0774417722</v>
      </c>
      <c r="AB18" s="36">
        <f>SUM(B18:Y18)</f>
        <v>233998.1548835445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1592688.469360795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1592688.469360795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1592688.469360795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1592688.469360795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3185376.93872159</v>
      </c>
      <c r="AA19" s="36">
        <f>SUM(B19:M19)</f>
        <v>3185376.93872159</v>
      </c>
      <c r="AB19" s="36">
        <f>SUM(B19:Y19)</f>
        <v>6370753.877443179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1592688.469360795</v>
      </c>
      <c r="G30" s="19">
        <f>SUM(G18:G29)</f>
        <v>58499.53872088612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1592688.469360795</v>
      </c>
      <c r="M30" s="19">
        <f>SUM(M18:M29)</f>
        <v>58499.53872088612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1592688.469360795</v>
      </c>
      <c r="S30" s="19">
        <f>SUM(S18:S29)</f>
        <v>58499.53872088612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1592688.469360795</v>
      </c>
      <c r="Y30" s="19">
        <f>SUM(Y18:Y29)</f>
        <v>58499.53872088612</v>
      </c>
      <c r="Z30" s="19">
        <f>SUMIF($B$13:$Y$13,"Yes",B30:Y30)</f>
        <v>3302376.016163362</v>
      </c>
      <c r="AA30" s="19">
        <f>SUM(B30:M30)</f>
        <v>3302376.016163362</v>
      </c>
      <c r="AB30" s="19">
        <f>SUM(B30:Y30)</f>
        <v>6604752.032326724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20000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20000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20000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20000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40000</v>
      </c>
      <c r="AA42" s="36">
        <f>SUM(B42:M42)</f>
        <v>40000</v>
      </c>
      <c r="AB42" s="36">
        <f>SUM(B42:Y42)</f>
        <v>80000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12500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12500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12500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12500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25000</v>
      </c>
      <c r="AA43" s="36">
        <f>SUM(B43:M43)</f>
        <v>25000</v>
      </c>
      <c r="AB43" s="36">
        <f>SUM(B43:Y43)</f>
        <v>50000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7500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7500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7500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7500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15000</v>
      </c>
      <c r="AB44" s="36">
        <f>SUM(B44:Y44)</f>
        <v>30000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60000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60000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60000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60000</v>
      </c>
      <c r="X48" s="46">
        <f>SUM(X49:X53)</f>
        <v>0</v>
      </c>
      <c r="Y48" s="46">
        <f>SUM(Y49:Y53)</f>
        <v>0</v>
      </c>
      <c r="Z48" s="46">
        <f>SUMIF($B$13:$Y$13,"Yes",B48:Y48)</f>
        <v>120000</v>
      </c>
      <c r="AA48" s="46">
        <f>SUM(B48:M48)</f>
        <v>120000</v>
      </c>
      <c r="AB48" s="46">
        <f>SUM(B48:Y48)</f>
        <v>240000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15000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15000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15000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15000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30000</v>
      </c>
      <c r="AA49" s="46">
        <f>SUM(B49:M49)</f>
        <v>30000</v>
      </c>
      <c r="AB49" s="46">
        <f>SUM(B49:Y49)</f>
        <v>60000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45000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45000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45000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45000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90000</v>
      </c>
      <c r="AA50" s="46">
        <f>SUM(B50:M50)</f>
        <v>90000</v>
      </c>
      <c r="AB50" s="46">
        <f>SUM(B50:Y50)</f>
        <v>180000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21000</v>
      </c>
      <c r="D60" s="36">
        <f>P60</f>
        <v>21000</v>
      </c>
      <c r="E60" s="36">
        <f>Q60</f>
        <v>21000</v>
      </c>
      <c r="F60" s="36">
        <f>R60</f>
        <v>21000</v>
      </c>
      <c r="G60" s="36">
        <f>S60</f>
        <v>6000</v>
      </c>
      <c r="H60" s="36">
        <f>T60</f>
        <v>0</v>
      </c>
      <c r="I60" s="36">
        <f>U60</f>
        <v>21000</v>
      </c>
      <c r="J60" s="36">
        <f>V60</f>
        <v>21000</v>
      </c>
      <c r="K60" s="36">
        <f>W60</f>
        <v>21000</v>
      </c>
      <c r="L60" s="36">
        <f>X60</f>
        <v>21000</v>
      </c>
      <c r="M60" s="36">
        <f>Y60</f>
        <v>6000</v>
      </c>
      <c r="N60" s="46">
        <f>SUM(N61:N65)</f>
        <v>0</v>
      </c>
      <c r="O60" s="46">
        <f>SUM(O61:O65)</f>
        <v>21000</v>
      </c>
      <c r="P60" s="46">
        <f>SUM(P61:P65)</f>
        <v>21000</v>
      </c>
      <c r="Q60" s="46">
        <f>SUM(Q61:Q65)</f>
        <v>21000</v>
      </c>
      <c r="R60" s="46">
        <f>SUM(R61:R65)</f>
        <v>21000</v>
      </c>
      <c r="S60" s="46">
        <f>SUM(S61:S65)</f>
        <v>6000</v>
      </c>
      <c r="T60" s="46">
        <f>SUM(T61:T65)</f>
        <v>0</v>
      </c>
      <c r="U60" s="46">
        <f>SUM(U61:U65)</f>
        <v>21000</v>
      </c>
      <c r="V60" s="46">
        <f>SUM(V61:V65)</f>
        <v>21000</v>
      </c>
      <c r="W60" s="46">
        <f>SUM(W61:W65)</f>
        <v>21000</v>
      </c>
      <c r="X60" s="46">
        <f>SUM(X61:X65)</f>
        <v>21000</v>
      </c>
      <c r="Y60" s="46">
        <f>SUM(Y61:Y65)</f>
        <v>6000</v>
      </c>
      <c r="Z60" s="46">
        <f>SUMIF($B$13:$Y$13,"Yes",B60:Y60)</f>
        <v>180000</v>
      </c>
      <c r="AA60" s="46">
        <f>SUM(B60:M60)</f>
        <v>180000</v>
      </c>
      <c r="AB60" s="46">
        <f>SUM(B60:Y60)</f>
        <v>360000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6000</v>
      </c>
      <c r="D61" s="36">
        <f>P61</f>
        <v>6000</v>
      </c>
      <c r="E61" s="36">
        <f>Q61</f>
        <v>6000</v>
      </c>
      <c r="F61" s="36">
        <f>R61</f>
        <v>6000</v>
      </c>
      <c r="G61" s="36">
        <f>S61</f>
        <v>6000</v>
      </c>
      <c r="H61" s="36">
        <f>T61</f>
        <v>0</v>
      </c>
      <c r="I61" s="36">
        <f>U61</f>
        <v>6000</v>
      </c>
      <c r="J61" s="36">
        <f>V61</f>
        <v>6000</v>
      </c>
      <c r="K61" s="36">
        <f>W61</f>
        <v>6000</v>
      </c>
      <c r="L61" s="36">
        <f>X61</f>
        <v>6000</v>
      </c>
      <c r="M61" s="36">
        <f>Y61</f>
        <v>6000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6000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6000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6000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6000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6000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6000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6000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6000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6000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6000</v>
      </c>
      <c r="Z61" s="46">
        <f>SUMIF($B$13:$Y$13,"Yes",B61:Y61)</f>
        <v>60000</v>
      </c>
      <c r="AA61" s="46">
        <f>SUM(B61:M61)</f>
        <v>60000</v>
      </c>
      <c r="AB61" s="46">
        <f>SUM(B61:Y61)</f>
        <v>120000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15000</v>
      </c>
      <c r="D62" s="36">
        <f>P62</f>
        <v>15000</v>
      </c>
      <c r="E62" s="36">
        <f>Q62</f>
        <v>15000</v>
      </c>
      <c r="F62" s="36">
        <f>R62</f>
        <v>15000</v>
      </c>
      <c r="G62" s="36">
        <f>S62</f>
        <v>0</v>
      </c>
      <c r="H62" s="36">
        <f>T62</f>
        <v>0</v>
      </c>
      <c r="I62" s="36">
        <f>U62</f>
        <v>15000</v>
      </c>
      <c r="J62" s="36">
        <f>V62</f>
        <v>15000</v>
      </c>
      <c r="K62" s="36">
        <f>W62</f>
        <v>15000</v>
      </c>
      <c r="L62" s="36">
        <f>X62</f>
        <v>15000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15000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15000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15000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15000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15000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15000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15000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15000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120000</v>
      </c>
      <c r="AA62" s="46">
        <f>SUM(B62:M62)</f>
        <v>120000</v>
      </c>
      <c r="AB62" s="46">
        <f>SUM(B62:Y62)</f>
        <v>240000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68800</v>
      </c>
      <c r="D66" s="36">
        <f>P66</f>
        <v>68800</v>
      </c>
      <c r="E66" s="36">
        <f>Q66</f>
        <v>68800</v>
      </c>
      <c r="F66" s="36">
        <f>R66</f>
        <v>68800</v>
      </c>
      <c r="G66" s="36">
        <f>S66</f>
        <v>12800</v>
      </c>
      <c r="H66" s="36">
        <f>T66</f>
        <v>0</v>
      </c>
      <c r="I66" s="36">
        <f>U66</f>
        <v>68800</v>
      </c>
      <c r="J66" s="36">
        <f>V66</f>
        <v>68800</v>
      </c>
      <c r="K66" s="36">
        <f>W66</f>
        <v>68800</v>
      </c>
      <c r="L66" s="36">
        <f>X66</f>
        <v>68800</v>
      </c>
      <c r="M66" s="36">
        <f>Y66</f>
        <v>12800</v>
      </c>
      <c r="N66" s="46">
        <f>SUM(N67:N71)</f>
        <v>0</v>
      </c>
      <c r="O66" s="46">
        <f>SUM(O67:O71)</f>
        <v>68800</v>
      </c>
      <c r="P66" s="46">
        <f>SUM(P67:P71)</f>
        <v>68800</v>
      </c>
      <c r="Q66" s="46">
        <f>SUM(Q67:Q71)</f>
        <v>68800</v>
      </c>
      <c r="R66" s="46">
        <f>SUM(R67:R71)</f>
        <v>68800</v>
      </c>
      <c r="S66" s="46">
        <f>SUM(S67:S71)</f>
        <v>12800</v>
      </c>
      <c r="T66" s="46">
        <f>SUM(T67:T71)</f>
        <v>0</v>
      </c>
      <c r="U66" s="46">
        <f>SUM(U67:U71)</f>
        <v>68800</v>
      </c>
      <c r="V66" s="46">
        <f>SUM(V67:V71)</f>
        <v>68800</v>
      </c>
      <c r="W66" s="46">
        <f>SUM(W67:W71)</f>
        <v>68800</v>
      </c>
      <c r="X66" s="46">
        <f>SUM(X67:X71)</f>
        <v>68800</v>
      </c>
      <c r="Y66" s="46">
        <f>SUM(Y67:Y71)</f>
        <v>12800</v>
      </c>
      <c r="Z66" s="46">
        <f>SUMIF($B$13:$Y$13,"Yes",B66:Y66)</f>
        <v>576000</v>
      </c>
      <c r="AA66" s="46">
        <f>SUM(B66:M66)</f>
        <v>576000</v>
      </c>
      <c r="AB66" s="46">
        <f>SUM(B66:Y66)</f>
        <v>1152000</v>
      </c>
    </row>
    <row r="67" spans="1:30" hidden="true" outlineLevel="1">
      <c r="A67" s="181" t="str">
        <f>Calculations!$A$4</f>
        <v>Beans</v>
      </c>
      <c r="B67" s="36">
        <f>N67</f>
        <v>0</v>
      </c>
      <c r="C67" s="36">
        <f>O67</f>
        <v>12800</v>
      </c>
      <c r="D67" s="36">
        <f>P67</f>
        <v>12800</v>
      </c>
      <c r="E67" s="36">
        <f>Q67</f>
        <v>12800</v>
      </c>
      <c r="F67" s="36">
        <f>R67</f>
        <v>12800</v>
      </c>
      <c r="G67" s="36">
        <f>S67</f>
        <v>12800</v>
      </c>
      <c r="H67" s="36">
        <f>T67</f>
        <v>0</v>
      </c>
      <c r="I67" s="36">
        <f>U67</f>
        <v>12800</v>
      </c>
      <c r="J67" s="36">
        <f>V67</f>
        <v>12800</v>
      </c>
      <c r="K67" s="36">
        <f>W67</f>
        <v>12800</v>
      </c>
      <c r="L67" s="36">
        <f>X67</f>
        <v>12800</v>
      </c>
      <c r="M67" s="36">
        <f>Y67</f>
        <v>12800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12800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12800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12800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12800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12800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12800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12800</v>
      </c>
      <c r="Z67" s="46">
        <f>SUMIF($B$13:$Y$13,"Yes",B67:Y67)</f>
        <v>128000</v>
      </c>
      <c r="AA67" s="46">
        <f>SUM(B67:M67)</f>
        <v>128000</v>
      </c>
      <c r="AB67" s="46">
        <f>SUM(B67:Y67)</f>
        <v>256000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56000</v>
      </c>
      <c r="D68" s="36">
        <f>P68</f>
        <v>56000</v>
      </c>
      <c r="E68" s="36">
        <f>Q68</f>
        <v>56000</v>
      </c>
      <c r="F68" s="36">
        <f>R68</f>
        <v>56000</v>
      </c>
      <c r="G68" s="36">
        <f>S68</f>
        <v>0</v>
      </c>
      <c r="H68" s="36">
        <f>T68</f>
        <v>0</v>
      </c>
      <c r="I68" s="36">
        <f>U68</f>
        <v>56000</v>
      </c>
      <c r="J68" s="36">
        <f>V68</f>
        <v>56000</v>
      </c>
      <c r="K68" s="36">
        <f>W68</f>
        <v>56000</v>
      </c>
      <c r="L68" s="36">
        <f>X68</f>
        <v>56000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56000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56000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56000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56000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56000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56000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56000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56000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448000</v>
      </c>
      <c r="AA68" s="46">
        <f>SUM(B68:M68)</f>
        <v>448000</v>
      </c>
      <c r="AB68" s="46">
        <f>SUM(B68:Y68)</f>
        <v>896000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50000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50000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100000</v>
      </c>
      <c r="AA72" s="46">
        <f>SUM(B72:M72)</f>
        <v>50000</v>
      </c>
      <c r="AB72" s="46">
        <f>SUM(B72:Y72)</f>
        <v>100000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77879.20053877875</v>
      </c>
      <c r="C81" s="46">
        <f>(SUM($AA$18:$AA$29)-SUM($AA$36,$AA$42,$AA$48,$AA$54,$AA$60,$AA$66,$AA$72:$AA$79))*Parameters!$B$37/12</f>
        <v>77879.20053877875</v>
      </c>
      <c r="D81" s="46">
        <f>(SUM($AA$18:$AA$29)-SUM($AA$36,$AA$42,$AA$48,$AA$54,$AA$60,$AA$66,$AA$72:$AA$79))*Parameters!$B$37/12</f>
        <v>77879.20053877875</v>
      </c>
      <c r="E81" s="46">
        <f>(SUM($AA$18:$AA$29)-SUM($AA$36,$AA$42,$AA$48,$AA$54,$AA$60,$AA$66,$AA$72:$AA$79))*Parameters!$B$37/12</f>
        <v>77879.20053877875</v>
      </c>
      <c r="F81" s="46">
        <f>(SUM($AA$18:$AA$29)-SUM($AA$36,$AA$42,$AA$48,$AA$54,$AA$60,$AA$66,$AA$72:$AA$79))*Parameters!$B$37/12</f>
        <v>77879.20053877875</v>
      </c>
      <c r="G81" s="46">
        <f>(SUM($AA$18:$AA$29)-SUM($AA$36,$AA$42,$AA$48,$AA$54,$AA$60,$AA$66,$AA$72:$AA$79))*Parameters!$B$37/12</f>
        <v>77879.20053877875</v>
      </c>
      <c r="H81" s="46">
        <f>(SUM($AA$18:$AA$29)-SUM($AA$36,$AA$42,$AA$48,$AA$54,$AA$60,$AA$66,$AA$72:$AA$79))*Parameters!$B$37/12</f>
        <v>77879.20053877875</v>
      </c>
      <c r="I81" s="46">
        <f>(SUM($AA$18:$AA$29)-SUM($AA$36,$AA$42,$AA$48,$AA$54,$AA$60,$AA$66,$AA$72:$AA$79))*Parameters!$B$37/12</f>
        <v>77879.20053877875</v>
      </c>
      <c r="J81" s="46">
        <f>(SUM($AA$18:$AA$29)-SUM($AA$36,$AA$42,$AA$48,$AA$54,$AA$60,$AA$66,$AA$72:$AA$79))*Parameters!$B$37/12</f>
        <v>77879.20053877875</v>
      </c>
      <c r="K81" s="46">
        <f>(SUM($AA$18:$AA$29)-SUM($AA$36,$AA$42,$AA$48,$AA$54,$AA$60,$AA$66,$AA$72:$AA$79))*Parameters!$B$37/12</f>
        <v>77879.20053877875</v>
      </c>
      <c r="L81" s="46">
        <f>(SUM($AA$18:$AA$29)-SUM($AA$36,$AA$42,$AA$48,$AA$54,$AA$60,$AA$66,$AA$72:$AA$79))*Parameters!$B$37/12</f>
        <v>77879.20053877875</v>
      </c>
      <c r="M81" s="46">
        <f>(SUM($AA$18:$AA$29)-SUM($AA$36,$AA$42,$AA$48,$AA$54,$AA$60,$AA$66,$AA$72:$AA$79))*Parameters!$B$37/12</f>
        <v>77879.20053877875</v>
      </c>
      <c r="N81" s="46">
        <f>(SUM($AA$18:$AA$29)-SUM($AA$36,$AA$42,$AA$48,$AA$54,$AA$60,$AA$66,$AA$72:$AA$79))*Parameters!$B$37/12</f>
        <v>77879.20053877875</v>
      </c>
      <c r="O81" s="46">
        <f>(SUM($AA$18:$AA$29)-SUM($AA$36,$AA$42,$AA$48,$AA$54,$AA$60,$AA$66,$AA$72:$AA$79))*Parameters!$B$37/12</f>
        <v>77879.20053877875</v>
      </c>
      <c r="P81" s="46">
        <f>(SUM($AA$18:$AA$29)-SUM($AA$36,$AA$42,$AA$48,$AA$54,$AA$60,$AA$66,$AA$72:$AA$79))*Parameters!$B$37/12</f>
        <v>77879.20053877875</v>
      </c>
      <c r="Q81" s="46">
        <f>(SUM($AA$18:$AA$29)-SUM($AA$36,$AA$42,$AA$48,$AA$54,$AA$60,$AA$66,$AA$72:$AA$79))*Parameters!$B$37/12</f>
        <v>77879.20053877875</v>
      </c>
      <c r="R81" s="46">
        <f>(SUM($AA$18:$AA$29)-SUM($AA$36,$AA$42,$AA$48,$AA$54,$AA$60,$AA$66,$AA$72:$AA$79))*Parameters!$B$37/12</f>
        <v>77879.20053877875</v>
      </c>
      <c r="S81" s="46">
        <f>(SUM($AA$18:$AA$29)-SUM($AA$36,$AA$42,$AA$48,$AA$54,$AA$60,$AA$66,$AA$72:$AA$79))*Parameters!$B$37/12</f>
        <v>77879.20053877875</v>
      </c>
      <c r="T81" s="46">
        <f>(SUM($AA$18:$AA$29)-SUM($AA$36,$AA$42,$AA$48,$AA$54,$AA$60,$AA$66,$AA$72:$AA$79))*Parameters!$B$37/12</f>
        <v>77879.20053877875</v>
      </c>
      <c r="U81" s="46">
        <f>(SUM($AA$18:$AA$29)-SUM($AA$36,$AA$42,$AA$48,$AA$54,$AA$60,$AA$66,$AA$72:$AA$79))*Parameters!$B$37/12</f>
        <v>77879.20053877875</v>
      </c>
      <c r="V81" s="46">
        <f>(SUM($AA$18:$AA$29)-SUM($AA$36,$AA$42,$AA$48,$AA$54,$AA$60,$AA$66,$AA$72:$AA$79))*Parameters!$B$37/12</f>
        <v>77879.20053877875</v>
      </c>
      <c r="W81" s="46">
        <f>(SUM($AA$18:$AA$29)-SUM($AA$36,$AA$42,$AA$48,$AA$54,$AA$60,$AA$66,$AA$72:$AA$79))*Parameters!$B$37/12</f>
        <v>77879.20053877875</v>
      </c>
      <c r="X81" s="46">
        <f>(SUM($AA$18:$AA$29)-SUM($AA$36,$AA$42,$AA$48,$AA$54,$AA$60,$AA$66,$AA$72:$AA$79))*Parameters!$B$37/12</f>
        <v>77879.20053877875</v>
      </c>
      <c r="Y81" s="46">
        <f>(SUM($AA$18:$AA$29)-SUM($AA$36,$AA$42,$AA$48,$AA$54,$AA$60,$AA$66,$AA$72:$AA$79))*Parameters!$B$37/12</f>
        <v>77879.20053877875</v>
      </c>
      <c r="Z81" s="46">
        <f>SUMIF($B$13:$Y$13,"Yes",B81:Y81)</f>
        <v>1012429.607004124</v>
      </c>
      <c r="AA81" s="46">
        <f>SUM(B81:M81)</f>
        <v>934550.4064653452</v>
      </c>
      <c r="AB81" s="46">
        <f>SUM(B81:Y81)</f>
        <v>1869100.812930689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127879.2005387788</v>
      </c>
      <c r="C88" s="19">
        <f>SUM(C72:C82,C66,C60,C54,C48,C42,C36)</f>
        <v>187679.2005387787</v>
      </c>
      <c r="D88" s="19">
        <f>SUM(D72:D82,D66,D60,D54,D48,D42,D36)</f>
        <v>167679.2005387787</v>
      </c>
      <c r="E88" s="19">
        <f>SUM(E72:E82,E66,E60,E54,E48,E42,E36)</f>
        <v>227679.2005387787</v>
      </c>
      <c r="F88" s="19">
        <f>SUM(F72:F82,F66,F60,F54,F48,F42,F36)</f>
        <v>167679.2005387787</v>
      </c>
      <c r="G88" s="19">
        <f>SUM(G72:G82,G66,G60,G54,G48,G42,G36)</f>
        <v>96679.20053877875</v>
      </c>
      <c r="H88" s="19">
        <f>SUM(H72:H82,H66,H60,H54,H48,H42,H36)</f>
        <v>77879.20053877875</v>
      </c>
      <c r="I88" s="19">
        <f>SUM(I72:I82,I66,I60,I54,I48,I42,I36)</f>
        <v>187679.2005387787</v>
      </c>
      <c r="J88" s="19">
        <f>SUM(J72:J82,J66,J60,J54,J48,J42,J36)</f>
        <v>167679.2005387787</v>
      </c>
      <c r="K88" s="19">
        <f>SUM(K72:K82,K66,K60,K54,K48,K42,K36)</f>
        <v>227679.2005387787</v>
      </c>
      <c r="L88" s="19">
        <f>SUM(L72:L82,L66,L60,L54,L48,L42,L36)</f>
        <v>167679.2005387787</v>
      </c>
      <c r="M88" s="19">
        <f>SUM(M72:M82,M66,M60,M54,M48,M42,M36)</f>
        <v>96679.20053877875</v>
      </c>
      <c r="N88" s="19">
        <f>SUM(N72:N82,N66,N60,N54,N48,N42,N36)</f>
        <v>127879.2005387788</v>
      </c>
      <c r="O88" s="19">
        <f>SUM(O72:O82,O66,O60,O54,O48,O42,O36)</f>
        <v>187679.2005387787</v>
      </c>
      <c r="P88" s="19">
        <f>SUM(P72:P82,P66,P60,P54,P48,P42,P36)</f>
        <v>167679.2005387787</v>
      </c>
      <c r="Q88" s="19">
        <f>SUM(Q72:Q82,Q66,Q60,Q54,Q48,Q42,Q36)</f>
        <v>227679.2005387787</v>
      </c>
      <c r="R88" s="19">
        <f>SUM(R72:R82,R66,R60,R54,R48,R42,R36)</f>
        <v>167679.2005387787</v>
      </c>
      <c r="S88" s="19">
        <f>SUM(S72:S82,S66,S60,S54,S48,S42,S36)</f>
        <v>96679.20053877875</v>
      </c>
      <c r="T88" s="19">
        <f>SUM(T72:T82,T66,T60,T54,T48,T42,T36)</f>
        <v>77879.20053877875</v>
      </c>
      <c r="U88" s="19">
        <f>SUM(U72:U82,U66,U60,U54,U48,U42,U36)</f>
        <v>187679.2005387787</v>
      </c>
      <c r="V88" s="19">
        <f>SUM(V72:V82,V66,V60,V54,V48,V42,V36)</f>
        <v>167679.2005387787</v>
      </c>
      <c r="W88" s="19">
        <f>SUM(W72:W82,W66,W60,W54,W48,W42,W36)</f>
        <v>227679.2005387787</v>
      </c>
      <c r="X88" s="19">
        <f>SUM(X72:X82,X66,X60,X54,X48,X42,X36)</f>
        <v>167679.2005387787</v>
      </c>
      <c r="Y88" s="19">
        <f>SUM(Y72:Y82,Y66,Y60,Y54,Y48,Y42,Y36)</f>
        <v>96679.20053877875</v>
      </c>
      <c r="Z88" s="19">
        <f>SUMIF($B$13:$Y$13,"Yes",B88:Y88)</f>
        <v>2028429.607004123</v>
      </c>
      <c r="AA88" s="19">
        <f>SUM(B88:M88)</f>
        <v>1900550.406465345</v>
      </c>
      <c r="AB88" s="19">
        <f>SUM(B88:Y88)</f>
        <v>3801100.812930689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2030000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0</v>
      </c>
      <c r="P7" s="41"/>
    </row>
    <row r="8" spans="1:48">
      <c r="A8" s="143" t="s">
        <v>95</v>
      </c>
      <c r="B8" s="16"/>
      <c r="C8" s="143">
        <v>10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 t="s">
        <v>96</v>
      </c>
      <c r="B9" s="16"/>
      <c r="C9" s="143">
        <v>5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>
        <v>50000</v>
      </c>
    </row>
    <row r="42" spans="1:48">
      <c r="A42" s="55" t="s">
        <v>126</v>
      </c>
      <c r="B42" s="139" t="s">
        <v>127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450000</v>
      </c>
    </row>
    <row r="46" spans="1:48" customHeight="1" ht="30">
      <c r="A46" s="57" t="s">
        <v>132</v>
      </c>
      <c r="B46" s="161">
        <v>200000</v>
      </c>
    </row>
    <row r="47" spans="1:48" customHeight="1" ht="30">
      <c r="A47" s="57" t="s">
        <v>133</v>
      </c>
      <c r="B47" s="161">
        <v>150000</v>
      </c>
    </row>
    <row r="48" spans="1:48" customHeight="1" ht="30">
      <c r="A48" s="57" t="s">
        <v>134</v>
      </c>
      <c r="B48" s="161">
        <v>1200000</v>
      </c>
    </row>
    <row r="49" spans="1:48" customHeight="1" ht="30">
      <c r="A49" s="57" t="s">
        <v>135</v>
      </c>
      <c r="B49" s="161">
        <v>30000</v>
      </c>
    </row>
    <row r="50" spans="1:48">
      <c r="A50" s="43"/>
      <c r="B50" s="36"/>
    </row>
    <row r="51" spans="1:48">
      <c r="A51" s="58" t="s">
        <v>136</v>
      </c>
      <c r="B51" s="161">
        <v>15000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94</v>
      </c>
      <c r="B66" s="159">
        <v>150000</v>
      </c>
      <c r="C66" s="163">
        <v>200000</v>
      </c>
      <c r="D66" s="49">
        <f>INDEX(Parameters!$D$79:$D$90,MATCH(Inputs!A66,Parameters!$C$79:$C$90,0))</f>
        <v>2</v>
      </c>
    </row>
    <row r="67" spans="1:48">
      <c r="A67" s="143" t="s">
        <v>147</v>
      </c>
      <c r="B67" s="157">
        <v>20000</v>
      </c>
      <c r="C67" s="165">
        <v>50000</v>
      </c>
      <c r="D67" s="49">
        <f>INDEX(Parameters!$D$79:$D$90,MATCH(Inputs!A67,Parameters!$C$79:$C$90,0))</f>
        <v>3</v>
      </c>
    </row>
    <row r="68" spans="1:48">
      <c r="A68" s="143" t="s">
        <v>148</v>
      </c>
      <c r="B68" s="157">
        <v>15000</v>
      </c>
      <c r="C68" s="165">
        <v>30000</v>
      </c>
      <c r="D68" s="49">
        <f>INDEX(Parameters!$D$79:$D$90,MATCH(Inputs!A68,Parameters!$C$79:$C$90,0))</f>
        <v>4</v>
      </c>
    </row>
    <row r="69" spans="1:48">
      <c r="A69" s="143" t="s">
        <v>149</v>
      </c>
      <c r="B69" s="157">
        <v>10000</v>
      </c>
      <c r="C69" s="165">
        <v>25000</v>
      </c>
      <c r="D69" s="49">
        <f>INDEX(Parameters!$D$79:$D$90,MATCH(Inputs!A69,Parameters!$C$79:$C$90,0))</f>
        <v>5</v>
      </c>
    </row>
    <row r="70" spans="1:48">
      <c r="A70" s="143" t="s">
        <v>150</v>
      </c>
      <c r="B70" s="157">
        <v>5000</v>
      </c>
      <c r="C70" s="165">
        <v>20000</v>
      </c>
      <c r="D70" s="49">
        <f>INDEX(Parameters!$D$79:$D$90,MATCH(Inputs!A70,Parameters!$C$79:$C$90,0))</f>
        <v>6</v>
      </c>
    </row>
    <row r="71" spans="1:48">
      <c r="A71" s="144" t="s">
        <v>151</v>
      </c>
      <c r="B71" s="158">
        <v>300000</v>
      </c>
      <c r="C71" s="167">
        <v>120000</v>
      </c>
      <c r="D71" s="49">
        <f>INDEX(Parameters!$D$79:$D$90,MATCH(Inputs!A71,Parameters!$C$79:$C$90,0))</f>
        <v>7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15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>
        <v>5</v>
      </c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42767</v>
      </c>
      <c r="C4" s="38">
        <f>IFERROR(DATE(YEAR(B4),MONTH(B4)+ROUND(T4/2,0),DAY(B4)),B4)</f>
        <v>42826</v>
      </c>
      <c r="D4" s="38">
        <f>IFERROR(DATE(YEAR(B4),MONTH(B4)+T4,DAY(B4)),"")</f>
        <v>42887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43009</v>
      </c>
      <c r="G4" s="38">
        <f>IFERROR(IF($S4=0,"",IF($S4=2,DATE(YEAR(D4),MONTH(D4)+6,DAY(D4)),IF($S4=1,D4,""))),"")</f>
        <v>43070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2984.670342902353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116999.0774417722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15000</v>
      </c>
      <c r="Z4" s="33">
        <f>IF(Inputs!I7=Parameters!$F$78,H4*INDEX(Parameters!$A$3:$AI$18,MATCH(Calculations!A4,Parameters!$A$3:$A$18,0),MATCH(Parameters!$Q$3,Parameters!$A$3:$AI$3,0)),0)</f>
        <v>30000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80000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42826</v>
      </c>
      <c r="D5" s="39">
        <f>IFERROR(DATE(YEAR(B5),MONTH(B5)+T5,DAY(B5)),"")</f>
        <v>42856</v>
      </c>
      <c r="E5" s="39">
        <f>IFERROR(IF($S5=0,"",IF($S5=2,DATE(YEAR(B5),MONTH(B5)+6,DAY(B5)),IF($S5=1,B5,""))),"")</f>
        <v>42948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43040</v>
      </c>
      <c r="H5" s="16">
        <f>Inputs!C8</f>
        <v>10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50561.5387098665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3185376.93872159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45000</v>
      </c>
      <c r="Z5" s="34">
        <f>IF(Inputs!I8=Parameters!$F$78,H5*INDEX(Parameters!$A$3:$AI$18,MATCH(Calculations!A5,Parameters!$A$3:$A$18,0),MATCH(Parameters!$Q$3,Parameters!$A$3:$AI$3,0)),0)</f>
        <v>60000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280000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42767</v>
      </c>
      <c r="C6" s="39">
        <f>IFERROR(DATE(YEAR(B6),MONTH(B6)+ROUND(T6/2,0),DAY(B6)),B6)</f>
        <v>42767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5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30000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42792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42767</v>
      </c>
      <c r="F33" t="s">
        <v>157</v>
      </c>
      <c r="G33" s="128">
        <f>IF(Inputs!B79="","",DATE(YEAR(Inputs!B79),MONTH(Inputs!B79),DAY(Inputs!B79)))</f>
        <v>42761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42820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42795</v>
      </c>
      <c r="F34" t="s">
        <v>158</v>
      </c>
      <c r="G34" s="128">
        <f>IF(Inputs!B80="","",DATE(YEAR(Inputs!B80),MONTH(Inputs!B80),DAY(Inputs!B80)))</f>
        <v>42792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42851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42826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42881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42856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42912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42887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42942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42917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42973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42948</v>
      </c>
      <c r="F39" t="s">
        <v>166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43004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42979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43034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43009</v>
      </c>
      <c r="F41" t="s">
        <v>224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43065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43040</v>
      </c>
      <c r="F42" t="s">
        <v>225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43095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43126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43101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198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98</v>
      </c>
      <c r="B41" s="191" t="s">
        <v>124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129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226</v>
      </c>
      <c r="E53" s="10" t="s">
        <v>185</v>
      </c>
      <c r="F53" s="10" t="s">
        <v>245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124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124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124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124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124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124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124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163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222</v>
      </c>
      <c r="J76" s="11" t="s">
        <v>344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124</v>
      </c>
      <c r="F77" s="12" t="s">
        <v>124</v>
      </c>
      <c r="G77" s="12" t="s">
        <v>346</v>
      </c>
      <c r="H77" s="12" t="s">
        <v>129</v>
      </c>
      <c r="I77" s="12" t="s">
        <v>347</v>
      </c>
      <c r="J77" s="136" t="s">
        <v>348</v>
      </c>
      <c r="K77" s="12" t="s">
        <v>124</v>
      </c>
      <c r="AJ77" s="12"/>
    </row>
    <row r="78" spans="1:36">
      <c r="A78" t="s">
        <v>124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124</v>
      </c>
      <c r="AJ78" s="12"/>
    </row>
    <row r="79" spans="1:36">
      <c r="B79" s="176">
        <v>10</v>
      </c>
      <c r="C79" s="12" t="s">
        <v>127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163</v>
      </c>
      <c r="J79" s="70" t="s">
        <v>357</v>
      </c>
      <c r="K79" s="12" t="s">
        <v>124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