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<sst xmlns="http://schemas.openxmlformats.org/spreadsheetml/2006/main" uniqueCount="364">
  <si>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</si>
  <si>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</si>
  <si>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</si>
  <si>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</si>
  <si>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</si>
  <si>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</si>
  <si>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</si>
  <si>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</si>
  <si>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</si>
  <si>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</si>
  <si>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</si>
  <si>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</si>
  <si>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</si>
  <si>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</si>
  <si>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</si>
  <si>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</si>
  <si>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</si>
  <si>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</si>
  <si>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</si>
  <si>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</si>
  <si>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</si>
  <si>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</si>
  <si>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</si>
  <si>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</si>
  <si>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</si>
  <si>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</si>
  <si>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</si>
  <si>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</si>
  <si>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</si>
  <si>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</si>
  <si>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</si>
  <si>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</si>
  <si>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</si>
  <si>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</si>
  <si>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</si>
  <si>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</si>
  <si>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</si>
  <si>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</si>
  <si>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</si>
  <si>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</si>
  <si>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</si>
  <si>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</si>
  <si>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</si>
  <si>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</si>
  <si>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</si>
  <si>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</si>
  <si>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</si>
  <si>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</si>
  <si>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</si>
  <si>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</si>
  <si>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</si>
  <si>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</si>
  <si>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</si>
  <si>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</si>
  <si>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</si>
  <si>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</si>
  <si>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</si>
  <si>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</si>
  <si>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</si>
  <si>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</si>
  <si>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</si>
  <si>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</si>
  <si>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</si>
  <si>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</si>
  <si>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</si>
  <si>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</si>
  <si>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</si>
  <si>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</si>
  <si>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</si>
  <si>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</si>
  <si>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</si>
  <si>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</si>
  <si>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</si>
  <si>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</si>
  <si>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</si>
  <si>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</si>
  <si>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</si>
  <si>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</si>
  <si>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</si>
  <si>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</si>
  <si>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</si>
  <si>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</si>
  <si>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</si>
  <si>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</si>
  <si>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</si>
  <si>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</si>
  <si>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</si>
  <si>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</si>
  <si>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</si>
  <si>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</si>
  <si>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</si>
  <si>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</si>
  <si>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</si>
  <si>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</si>
  <si>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</si>
  <si>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</si>
  <si>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</si>
  <si>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</si>
  <si>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</si>
  <si>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</si>
  <si>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</si>
  <si>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</si>
  <si>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</si>
  <si>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</si>
  <si>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</si>
  <si>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</si>
  <si>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</si>
  <si>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</si>
  <si>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</si>
  <si>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</si>
  <si>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</si>
  <si>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</si>
  <si>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</si>
  <si>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</si>
  <si>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</si>
  <si>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</si>
  <si>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</si>
  <si>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</si>
  <si>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</si>
  <si>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</si>
  <si>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</si>
  <si>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</si>
  <si>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</si>
  <si>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</si>
  <si>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</si>
  <si>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</si>
  <si>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</si>
  <si>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</si>
  <si>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</si>
  <si>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</si>
  <si>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</si>
  <si>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</si>
  <si>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</si>
  <si>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</si>
  <si>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</si>
  <si>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</si>
  <si>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</si>
  <si>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</si>
  <si>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</si>
  <si>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</si>
  <si>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</si>
  <si>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</si>
  <si>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</si>
  <si>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</si>
  <si>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September</t>
  </si>
  <si>
    <t>October</t>
  </si>
  <si>
    <t>November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</si>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</sst>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0.6974433365641026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0.03416666666666666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34833.33333333334</v>
      </c>
    </row>
    <row r="17" spans="1:7">
      <c r="B17" s="1" t="s">
        <v>11</v>
      </c>
      <c r="C17" s="36">
        <f>SUM(Output!B6:M6)</f>
        <v>23687.28044700829</v>
      </c>
    </row>
    <row r="18" spans="1:7">
      <c r="B18" s="1" t="s">
        <v>12</v>
      </c>
      <c r="C18" s="36">
        <f>MIN(Output!B6:M6)</f>
        <v>-15133.9600248338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25206.85357062013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1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-1315.960024833795</v>
      </c>
      <c r="C6" s="51">
        <f>C30-C88</f>
        <v>4524.186900051332</v>
      </c>
      <c r="D6" s="51">
        <f>D30-D88</f>
        <v>21417.88019984099</v>
      </c>
      <c r="E6" s="51">
        <f>E30-E88</f>
        <v>25206.85357062013</v>
      </c>
      <c r="F6" s="51">
        <f>F30-F88</f>
        <v>-1315.960024833795</v>
      </c>
      <c r="G6" s="51">
        <f>G30-G88</f>
        <v>-1315.960024833795</v>
      </c>
      <c r="H6" s="51">
        <f>H30-H88</f>
        <v>-1315.960024833795</v>
      </c>
      <c r="I6" s="51">
        <f>I30-I88</f>
        <v>-1315.960024833795</v>
      </c>
      <c r="J6" s="51">
        <f>J30-J88</f>
        <v>-15133.9600248338</v>
      </c>
      <c r="K6" s="51">
        <f>K30-K88</f>
        <v>-1315.960024833795</v>
      </c>
      <c r="L6" s="51">
        <f>L30-L88</f>
        <v>-1315.960024833795</v>
      </c>
      <c r="M6" s="51">
        <f>M30-M88</f>
        <v>-3115.960024833795</v>
      </c>
      <c r="N6" s="51">
        <f>N30-N88</f>
        <v>-1315.960024833795</v>
      </c>
      <c r="O6" s="51">
        <f>O30-O88</f>
        <v>4524.186900051332</v>
      </c>
      <c r="P6" s="51">
        <f>P30-P88</f>
        <v>21417.88019984099</v>
      </c>
      <c r="Q6" s="51">
        <f>Q30-Q88</f>
        <v>25206.85357062013</v>
      </c>
      <c r="R6" s="51">
        <f>R30-R88</f>
        <v>-1315.960024833795</v>
      </c>
      <c r="S6" s="51">
        <f>S30-S88</f>
        <v>-1315.960024833795</v>
      </c>
      <c r="T6" s="51">
        <f>T30-T88</f>
        <v>-1315.960024833795</v>
      </c>
      <c r="U6" s="51">
        <f>U30-U88</f>
        <v>-1315.960024833795</v>
      </c>
      <c r="V6" s="51">
        <f>V30-V88</f>
        <v>-15133.9600248338</v>
      </c>
      <c r="W6" s="51">
        <f>W30-W88</f>
        <v>-1315.960024833795</v>
      </c>
      <c r="X6" s="51">
        <f>X30-X88</f>
        <v>-1315.960024833795</v>
      </c>
      <c r="Y6" s="51">
        <f>Y30-Y88</f>
        <v>-3115.960024833795</v>
      </c>
      <c r="Z6" s="51">
        <f>SUMIF($B$13:$Y$13,"Yes",B6:Y6)</f>
        <v>49832.96064567866</v>
      </c>
      <c r="AA6" s="51">
        <f>AA30-AA88</f>
        <v>23687.28044700829</v>
      </c>
      <c r="AB6" s="51">
        <f>AB30-AB88</f>
        <v>47374.56089401658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18370</v>
      </c>
      <c r="I7" s="80">
        <f>IF(ISERROR(VLOOKUP(MONTH(I5),Inputs!$D$66:$D$71,1,0)),"",INDEX(Inputs!$B$66:$B$71,MATCH(MONTH(Output!I5),Inputs!$D$66:$D$71,0))-INDEX(Inputs!$C$66:$C$71,MATCH(MONTH(Output!I5),Inputs!$D$66:$D$71,0)))</f>
        <v>8640</v>
      </c>
      <c r="J7" s="80">
        <f>IF(ISERROR(VLOOKUP(MONTH(J5),Inputs!$D$66:$D$71,1,0)),"",INDEX(Inputs!$B$66:$B$71,MATCH(MONTH(Output!J5),Inputs!$D$66:$D$71,0))-INDEX(Inputs!$C$66:$C$71,MATCH(MONTH(Output!J5),Inputs!$D$66:$D$71,0)))</f>
        <v>76783</v>
      </c>
      <c r="K7" s="80">
        <f>IF(ISERROR(VLOOKUP(MONTH(K5),Inputs!$D$66:$D$71,1,0)),"",INDEX(Inputs!$B$66:$B$71,MATCH(MONTH(Output!K5),Inputs!$D$66:$D$71,0))-INDEX(Inputs!$C$66:$C$71,MATCH(MONTH(Output!K5),Inputs!$D$66:$D$71,0)))</f>
        <v>69778</v>
      </c>
      <c r="L7" s="80">
        <f>IF(ISERROR(VLOOKUP(MONTH(L5),Inputs!$D$66:$D$71,1,0)),"",INDEX(Inputs!$B$66:$B$71,MATCH(MONTH(Output!L5),Inputs!$D$66:$D$71,0))-INDEX(Inputs!$C$66:$C$71,MATCH(MONTH(Output!L5),Inputs!$D$66:$D$71,0)))</f>
        <v>-60025</v>
      </c>
      <c r="M7" s="80">
        <f>IF(ISERROR(VLOOKUP(MONTH(M5),Inputs!$D$66:$D$71,1,0)),"",INDEX(Inputs!$B$66:$B$71,MATCH(MONTH(Output!M5),Inputs!$D$66:$D$71,0))-INDEX(Inputs!$C$66:$C$71,MATCH(MONTH(Output!M5),Inputs!$D$66:$D$71,0)))</f>
        <v>110579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18370</v>
      </c>
      <c r="U7" s="80">
        <f>IF(ISERROR(VLOOKUP(MONTH(U5),Inputs!$D$66:$D$71,1,0)),"",INDEX(Inputs!$B$66:$B$71,MATCH(MONTH(Output!U5),Inputs!$D$66:$D$71,0))-INDEX(Inputs!$C$66:$C$71,MATCH(MONTH(Output!U5),Inputs!$D$66:$D$71,0)))</f>
        <v>8640</v>
      </c>
      <c r="V7" s="80">
        <f>IF(ISERROR(VLOOKUP(MONTH(V5),Inputs!$D$66:$D$71,1,0)),"",INDEX(Inputs!$B$66:$B$71,MATCH(MONTH(Output!V5),Inputs!$D$66:$D$71,0))-INDEX(Inputs!$C$66:$C$71,MATCH(MONTH(Output!V5),Inputs!$D$66:$D$71,0)))</f>
        <v>76783</v>
      </c>
      <c r="W7" s="80">
        <f>IF(ISERROR(VLOOKUP(MONTH(W5),Inputs!$D$66:$D$71,1,0)),"",INDEX(Inputs!$B$66:$B$71,MATCH(MONTH(Output!W5),Inputs!$D$66:$D$71,0))-INDEX(Inputs!$C$66:$C$71,MATCH(MONTH(Output!W5),Inputs!$D$66:$D$71,0)))</f>
        <v>69778</v>
      </c>
      <c r="X7" s="80">
        <f>IF(ISERROR(VLOOKUP(MONTH(X5),Inputs!$D$66:$D$71,1,0)),"",INDEX(Inputs!$B$66:$B$71,MATCH(MONTH(Output!X5),Inputs!$D$66:$D$71,0))-INDEX(Inputs!$C$66:$C$71,MATCH(MONTH(Output!X5),Inputs!$D$66:$D$71,0)))</f>
        <v>-60025</v>
      </c>
      <c r="Y7" s="80">
        <f>IF(ISERROR(VLOOKUP(MONTH(Y5),Inputs!$D$66:$D$71,1,0)),"",INDEX(Inputs!$B$66:$B$71,MATCH(MONTH(Output!Y5),Inputs!$D$66:$D$71,0))-INDEX(Inputs!$C$66:$C$71,MATCH(MONTH(Output!Y5),Inputs!$D$66:$D$71,0)))</f>
        <v>110579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34833.33333333334</v>
      </c>
      <c r="D10" s="37">
        <f>SUMPRODUCT((Calculations!$D$33:$D$84=Output!D5)+0,Calculations!$C$33:$C$84)</f>
        <v>34833.33333333334</v>
      </c>
      <c r="E10" s="37">
        <f>SUMPRODUCT((Calculations!$D$33:$D$84=Output!E5)+0,Calculations!$C$33:$C$84)</f>
        <v>34833.33333333334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104500</v>
      </c>
      <c r="AA10" s="37">
        <f>SUM(B10:M10)</f>
        <v>104500</v>
      </c>
      <c r="AB10" s="37">
        <f>SUM(B10:Y10)</f>
        <v>104500</v>
      </c>
    </row>
    <row r="11" spans="1:30" customHeight="1" ht="15.75">
      <c r="A11" s="43" t="s">
        <v>31</v>
      </c>
      <c r="B11" s="80">
        <f>B6+B9-B10</f>
        <v>98684.0399751662</v>
      </c>
      <c r="C11" s="80">
        <f>C6+C9-C10</f>
        <v>-30309.146433282</v>
      </c>
      <c r="D11" s="80">
        <f>D6+D9-D10</f>
        <v>-13415.45313349234</v>
      </c>
      <c r="E11" s="80">
        <f>E6+E9-E10</f>
        <v>-9626.47976271321</v>
      </c>
      <c r="F11" s="80">
        <f>F6+F9-F10</f>
        <v>-1315.960024833795</v>
      </c>
      <c r="G11" s="80">
        <f>G6+G9-G10</f>
        <v>-1315.960024833795</v>
      </c>
      <c r="H11" s="80">
        <f>H6+H9-H10</f>
        <v>-1315.960024833795</v>
      </c>
      <c r="I11" s="80">
        <f>I6+I9-I10</f>
        <v>-1315.960024833795</v>
      </c>
      <c r="J11" s="80">
        <f>J6+J9-J10</f>
        <v>-15133.9600248338</v>
      </c>
      <c r="K11" s="80">
        <f>K6+K9-K10</f>
        <v>-1315.960024833795</v>
      </c>
      <c r="L11" s="80">
        <f>L6+L9-L10</f>
        <v>-1315.960024833795</v>
      </c>
      <c r="M11" s="80">
        <f>M6+M9-M10</f>
        <v>-3115.960024833795</v>
      </c>
      <c r="N11" s="80">
        <f>N6+N9-N10</f>
        <v>-1315.960024833795</v>
      </c>
      <c r="O11" s="80">
        <f>O6+O9-O10</f>
        <v>4524.186900051332</v>
      </c>
      <c r="P11" s="80">
        <f>P6+P9-P10</f>
        <v>21417.88019984099</v>
      </c>
      <c r="Q11" s="80">
        <f>Q6+Q9-Q10</f>
        <v>25206.85357062013</v>
      </c>
      <c r="R11" s="80">
        <f>R6+R9-R10</f>
        <v>-1315.960024833795</v>
      </c>
      <c r="S11" s="80">
        <f>S6+S9-S10</f>
        <v>-1315.960024833795</v>
      </c>
      <c r="T11" s="80">
        <f>T6+T9-T10</f>
        <v>-1315.960024833795</v>
      </c>
      <c r="U11" s="80">
        <f>U6+U9-U10</f>
        <v>-1315.960024833795</v>
      </c>
      <c r="V11" s="80">
        <f>V6+V9-V10</f>
        <v>-15133.9600248338</v>
      </c>
      <c r="W11" s="80">
        <f>W6+W9-W10</f>
        <v>-1315.960024833795</v>
      </c>
      <c r="X11" s="80">
        <f>X6+X9-X10</f>
        <v>-1315.960024833795</v>
      </c>
      <c r="Y11" s="80">
        <f>Y6+Y9-Y10</f>
        <v>-3115.960024833795</v>
      </c>
      <c r="Z11" s="85">
        <f>SUMIF($B$13:$Y$13,"Yes",B11:Y11)</f>
        <v>45332.96064567866</v>
      </c>
      <c r="AA11" s="80">
        <f>SUM(B11:M11)</f>
        <v>19187.28044700829</v>
      </c>
      <c r="AB11" s="46">
        <f>SUM(B11:Y11)</f>
        <v>42874.56089401658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0.3375053945597582</v>
      </c>
      <c r="D12" s="82">
        <f>IF(D13="Yes",IF(SUM($B$10:D10)/(SUM($B$6:D6)+SUM($B$9:D9))&lt;0,999.99,SUM($B$10:D10)/(SUM($B$6:D6)+SUM($B$9:D9))),"")</f>
        <v>0.5590053986417833</v>
      </c>
      <c r="E12" s="82">
        <f>IF(E13="Yes",IF(SUM($B$10:E10)/(SUM($B$6:E6)+SUM($B$9:E9))&lt;0,999.99,SUM($B$10:E10)/(SUM($B$6:E6)+SUM($B$9:E9))),"")</f>
        <v>0.6974433365641026</v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18944.86685389566</v>
      </c>
      <c r="D18" s="36">
        <f>P18</f>
        <v>22733.84022467479</v>
      </c>
      <c r="E18" s="36">
        <f>Q18</f>
        <v>26522.81359545392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18944.86685389566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22733.84022467479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26522.81359545392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68201.52067402437</v>
      </c>
      <c r="AA18" s="36">
        <f>SUM(B18:M18)</f>
        <v>68201.52067402437</v>
      </c>
      <c r="AB18" s="36">
        <f>SUM(B18:Y18)</f>
        <v>136403.0413480487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18944.86685389566</v>
      </c>
      <c r="D30" s="19">
        <f>SUM(D18:D29)</f>
        <v>22733.84022467479</v>
      </c>
      <c r="E30" s="19">
        <f>SUM(E18:E29)</f>
        <v>26522.81359545392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18944.86685389566</v>
      </c>
      <c r="P30" s="19">
        <f>SUM(P18:P29)</f>
        <v>22733.84022467479</v>
      </c>
      <c r="Q30" s="19">
        <f>SUM(Q18:Q29)</f>
        <v>26522.81359545392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68201.52067402437</v>
      </c>
      <c r="AA30" s="19">
        <f>SUM(B30:M30)</f>
        <v>68201.52067402437</v>
      </c>
      <c r="AB30" s="19">
        <f>SUM(B30:Y30)</f>
        <v>136403.0413480487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12000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12000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12000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1818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1818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1818</v>
      </c>
      <c r="AB42" s="36">
        <f>SUM(B42:Y42)</f>
        <v>3636.000000000001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1818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1818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1800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1800</v>
      </c>
      <c r="Z48" s="46">
        <f>SUMIF($B$13:$Y$13,"Yes",B48:Y48)</f>
        <v>0</v>
      </c>
      <c r="AA48" s="46">
        <f>SUM(B48:M48)</f>
        <v>1800</v>
      </c>
      <c r="AB48" s="46">
        <f>SUM(B48:Y48)</f>
        <v>3600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1800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1800</v>
      </c>
      <c r="Z49" s="46">
        <f>SUMIF($B$13:$Y$13,"Yes",B49:Y49)</f>
        <v>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13104.71992901053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13104.71992901053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13104.71992901053</v>
      </c>
      <c r="AA54" s="46">
        <f>SUM(B54:M54)</f>
        <v>13104.71992901053</v>
      </c>
      <c r="AB54" s="46">
        <f>SUM(B54:Y54)</f>
        <v>26209.43985802106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13104.71992901053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13104.71992901053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13104.71992901053</v>
      </c>
      <c r="AA55" s="46">
        <f>SUM(B55:M55)</f>
        <v>13104.71992901053</v>
      </c>
      <c r="AB55" s="46">
        <f>SUM(B55:Y55)</f>
        <v>26209.43985802106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1315.960024833795</v>
      </c>
      <c r="C81" s="46">
        <f>(SUM($AA$18:$AA$29)-SUM($AA$36,$AA$42,$AA$48,$AA$54,$AA$60,$AA$66,$AA$72:$AA$79))*Parameters!$B$37/12</f>
        <v>1315.960024833795</v>
      </c>
      <c r="D81" s="46">
        <f>(SUM($AA$18:$AA$29)-SUM($AA$36,$AA$42,$AA$48,$AA$54,$AA$60,$AA$66,$AA$72:$AA$79))*Parameters!$B$37/12</f>
        <v>1315.960024833795</v>
      </c>
      <c r="E81" s="46">
        <f>(SUM($AA$18:$AA$29)-SUM($AA$36,$AA$42,$AA$48,$AA$54,$AA$60,$AA$66,$AA$72:$AA$79))*Parameters!$B$37/12</f>
        <v>1315.960024833795</v>
      </c>
      <c r="F81" s="46">
        <f>(SUM($AA$18:$AA$29)-SUM($AA$36,$AA$42,$AA$48,$AA$54,$AA$60,$AA$66,$AA$72:$AA$79))*Parameters!$B$37/12</f>
        <v>1315.960024833795</v>
      </c>
      <c r="G81" s="46">
        <f>(SUM($AA$18:$AA$29)-SUM($AA$36,$AA$42,$AA$48,$AA$54,$AA$60,$AA$66,$AA$72:$AA$79))*Parameters!$B$37/12</f>
        <v>1315.960024833795</v>
      </c>
      <c r="H81" s="46">
        <f>(SUM($AA$18:$AA$29)-SUM($AA$36,$AA$42,$AA$48,$AA$54,$AA$60,$AA$66,$AA$72:$AA$79))*Parameters!$B$37/12</f>
        <v>1315.960024833795</v>
      </c>
      <c r="I81" s="46">
        <f>(SUM($AA$18:$AA$29)-SUM($AA$36,$AA$42,$AA$48,$AA$54,$AA$60,$AA$66,$AA$72:$AA$79))*Parameters!$B$37/12</f>
        <v>1315.960024833795</v>
      </c>
      <c r="J81" s="46">
        <f>(SUM($AA$18:$AA$29)-SUM($AA$36,$AA$42,$AA$48,$AA$54,$AA$60,$AA$66,$AA$72:$AA$79))*Parameters!$B$37/12</f>
        <v>1315.960024833795</v>
      </c>
      <c r="K81" s="46">
        <f>(SUM($AA$18:$AA$29)-SUM($AA$36,$AA$42,$AA$48,$AA$54,$AA$60,$AA$66,$AA$72:$AA$79))*Parameters!$B$37/12</f>
        <v>1315.960024833795</v>
      </c>
      <c r="L81" s="46">
        <f>(SUM($AA$18:$AA$29)-SUM($AA$36,$AA$42,$AA$48,$AA$54,$AA$60,$AA$66,$AA$72:$AA$79))*Parameters!$B$37/12</f>
        <v>1315.960024833795</v>
      </c>
      <c r="M81" s="46">
        <f>(SUM($AA$18:$AA$29)-SUM($AA$36,$AA$42,$AA$48,$AA$54,$AA$60,$AA$66,$AA$72:$AA$79))*Parameters!$B$37/12</f>
        <v>1315.960024833795</v>
      </c>
      <c r="N81" s="46">
        <f>(SUM($AA$18:$AA$29)-SUM($AA$36,$AA$42,$AA$48,$AA$54,$AA$60,$AA$66,$AA$72:$AA$79))*Parameters!$B$37/12</f>
        <v>1315.960024833795</v>
      </c>
      <c r="O81" s="46">
        <f>(SUM($AA$18:$AA$29)-SUM($AA$36,$AA$42,$AA$48,$AA$54,$AA$60,$AA$66,$AA$72:$AA$79))*Parameters!$B$37/12</f>
        <v>1315.960024833795</v>
      </c>
      <c r="P81" s="46">
        <f>(SUM($AA$18:$AA$29)-SUM($AA$36,$AA$42,$AA$48,$AA$54,$AA$60,$AA$66,$AA$72:$AA$79))*Parameters!$B$37/12</f>
        <v>1315.960024833795</v>
      </c>
      <c r="Q81" s="46">
        <f>(SUM($AA$18:$AA$29)-SUM($AA$36,$AA$42,$AA$48,$AA$54,$AA$60,$AA$66,$AA$72:$AA$79))*Parameters!$B$37/12</f>
        <v>1315.960024833795</v>
      </c>
      <c r="R81" s="46">
        <f>(SUM($AA$18:$AA$29)-SUM($AA$36,$AA$42,$AA$48,$AA$54,$AA$60,$AA$66,$AA$72:$AA$79))*Parameters!$B$37/12</f>
        <v>1315.960024833795</v>
      </c>
      <c r="S81" s="46">
        <f>(SUM($AA$18:$AA$29)-SUM($AA$36,$AA$42,$AA$48,$AA$54,$AA$60,$AA$66,$AA$72:$AA$79))*Parameters!$B$37/12</f>
        <v>1315.960024833795</v>
      </c>
      <c r="T81" s="46">
        <f>(SUM($AA$18:$AA$29)-SUM($AA$36,$AA$42,$AA$48,$AA$54,$AA$60,$AA$66,$AA$72:$AA$79))*Parameters!$B$37/12</f>
        <v>1315.960024833795</v>
      </c>
      <c r="U81" s="46">
        <f>(SUM($AA$18:$AA$29)-SUM($AA$36,$AA$42,$AA$48,$AA$54,$AA$60,$AA$66,$AA$72:$AA$79))*Parameters!$B$37/12</f>
        <v>1315.960024833795</v>
      </c>
      <c r="V81" s="46">
        <f>(SUM($AA$18:$AA$29)-SUM($AA$36,$AA$42,$AA$48,$AA$54,$AA$60,$AA$66,$AA$72:$AA$79))*Parameters!$B$37/12</f>
        <v>1315.960024833795</v>
      </c>
      <c r="W81" s="46">
        <f>(SUM($AA$18:$AA$29)-SUM($AA$36,$AA$42,$AA$48,$AA$54,$AA$60,$AA$66,$AA$72:$AA$79))*Parameters!$B$37/12</f>
        <v>1315.960024833795</v>
      </c>
      <c r="X81" s="46">
        <f>(SUM($AA$18:$AA$29)-SUM($AA$36,$AA$42,$AA$48,$AA$54,$AA$60,$AA$66,$AA$72:$AA$79))*Parameters!$B$37/12</f>
        <v>1315.960024833795</v>
      </c>
      <c r="Y81" s="46">
        <f>(SUM($AA$18:$AA$29)-SUM($AA$36,$AA$42,$AA$48,$AA$54,$AA$60,$AA$66,$AA$72:$AA$79))*Parameters!$B$37/12</f>
        <v>1315.960024833795</v>
      </c>
      <c r="Z81" s="46">
        <f>SUMIF($B$13:$Y$13,"Yes",B81:Y81)</f>
        <v>5263.840099335179</v>
      </c>
      <c r="AA81" s="46">
        <f>SUM(B81:M81)</f>
        <v>15791.52029800554</v>
      </c>
      <c r="AB81" s="46">
        <f>SUM(B81:Y81)</f>
        <v>31583.04059601109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1315.960024833795</v>
      </c>
      <c r="C88" s="19">
        <f>SUM(C72:C82,C66,C60,C54,C48,C42,C36)</f>
        <v>14420.67995384433</v>
      </c>
      <c r="D88" s="19">
        <f>SUM(D72:D82,D66,D60,D54,D48,D42,D36)</f>
        <v>1315.960024833795</v>
      </c>
      <c r="E88" s="19">
        <f>SUM(E72:E82,E66,E60,E54,E48,E42,E36)</f>
        <v>1315.960024833795</v>
      </c>
      <c r="F88" s="19">
        <f>SUM(F72:F82,F66,F60,F54,F48,F42,F36)</f>
        <v>1315.960024833795</v>
      </c>
      <c r="G88" s="19">
        <f>SUM(G72:G82,G66,G60,G54,G48,G42,G36)</f>
        <v>1315.960024833795</v>
      </c>
      <c r="H88" s="19">
        <f>SUM(H72:H82,H66,H60,H54,H48,H42,H36)</f>
        <v>1315.960024833795</v>
      </c>
      <c r="I88" s="19">
        <f>SUM(I72:I82,I66,I60,I54,I48,I42,I36)</f>
        <v>1315.960024833795</v>
      </c>
      <c r="J88" s="19">
        <f>SUM(J72:J82,J66,J60,J54,J48,J42,J36)</f>
        <v>15133.9600248338</v>
      </c>
      <c r="K88" s="19">
        <f>SUM(K72:K82,K66,K60,K54,K48,K42,K36)</f>
        <v>1315.960024833795</v>
      </c>
      <c r="L88" s="19">
        <f>SUM(L72:L82,L66,L60,L54,L48,L42,L36)</f>
        <v>1315.960024833795</v>
      </c>
      <c r="M88" s="19">
        <f>SUM(M72:M82,M66,M60,M54,M48,M42,M36)</f>
        <v>3115.960024833795</v>
      </c>
      <c r="N88" s="19">
        <f>SUM(N72:N82,N66,N60,N54,N48,N42,N36)</f>
        <v>1315.960024833795</v>
      </c>
      <c r="O88" s="19">
        <f>SUM(O72:O82,O66,O60,O54,O48,O42,O36)</f>
        <v>14420.67995384433</v>
      </c>
      <c r="P88" s="19">
        <f>SUM(P72:P82,P66,P60,P54,P48,P42,P36)</f>
        <v>1315.960024833795</v>
      </c>
      <c r="Q88" s="19">
        <f>SUM(Q72:Q82,Q66,Q60,Q54,Q48,Q42,Q36)</f>
        <v>1315.960024833795</v>
      </c>
      <c r="R88" s="19">
        <f>SUM(R72:R82,R66,R60,R54,R48,R42,R36)</f>
        <v>1315.960024833795</v>
      </c>
      <c r="S88" s="19">
        <f>SUM(S72:S82,S66,S60,S54,S48,S42,S36)</f>
        <v>1315.960024833795</v>
      </c>
      <c r="T88" s="19">
        <f>SUM(T72:T82,T66,T60,T54,T48,T42,T36)</f>
        <v>1315.960024833795</v>
      </c>
      <c r="U88" s="19">
        <f>SUM(U72:U82,U66,U60,U54,U48,U42,U36)</f>
        <v>1315.960024833795</v>
      </c>
      <c r="V88" s="19">
        <f>SUM(V72:V82,V66,V60,V54,V48,V42,V36)</f>
        <v>15133.9600248338</v>
      </c>
      <c r="W88" s="19">
        <f>SUM(W72:W82,W66,W60,W54,W48,W42,W36)</f>
        <v>1315.960024833795</v>
      </c>
      <c r="X88" s="19">
        <f>SUM(X72:X82,X66,X60,X54,X48,X42,X36)</f>
        <v>1315.960024833795</v>
      </c>
      <c r="Y88" s="19">
        <f>SUM(Y72:Y82,Y66,Y60,Y54,Y48,Y42,Y36)</f>
        <v>3115.960024833795</v>
      </c>
      <c r="Z88" s="19">
        <f>SUMIF($B$13:$Y$13,"Yes",B88:Y88)</f>
        <v>18368.56002834571</v>
      </c>
      <c r="AA88" s="19">
        <f>SUM(B88:M88)</f>
        <v>44514.24022701608</v>
      </c>
      <c r="AB88" s="19">
        <f>SUM(B88:Y88)</f>
        <v>89028.48045403216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145000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1800000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850000</v>
      </c>
    </row>
    <row r="100" spans="1:30" customHeight="1" ht="15.75">
      <c r="A100" s="18" t="s">
        <v>66</v>
      </c>
      <c r="B100" s="37">
        <f>Inputs!B48</f>
        <v>140000</v>
      </c>
    </row>
    <row r="101" spans="1:30" customHeight="1" ht="15.75">
      <c r="A101" s="1" t="s">
        <v>67</v>
      </c>
      <c r="B101" s="19">
        <f>SUM(B94:B100)</f>
        <v>3000000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100</v>
      </c>
    </row>
    <row r="27" spans="1:48">
      <c r="A27" s="14" t="s">
        <v>110</v>
      </c>
    </row>
    <row r="29" spans="1:48">
      <c r="A29" s="45" t="s">
        <v>111</v>
      </c>
      <c r="B29" s="156"/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93</v>
      </c>
    </row>
    <row r="45" spans="1:48">
      <c r="A45" s="56" t="s">
        <v>126</v>
      </c>
      <c r="B45" s="161"/>
    </row>
    <row r="46" spans="1:48" customHeight="1" ht="30">
      <c r="A46" s="57" t="s">
        <v>127</v>
      </c>
      <c r="B46" s="161">
        <v>850000</v>
      </c>
    </row>
    <row r="47" spans="1:48" customHeight="1" ht="30">
      <c r="A47" s="57" t="s">
        <v>128</v>
      </c>
      <c r="B47" s="161">
        <v>145000</v>
      </c>
    </row>
    <row r="48" spans="1:48" customHeight="1" ht="30">
      <c r="A48" s="57" t="s">
        <v>129</v>
      </c>
      <c r="B48" s="161">
        <v>140000</v>
      </c>
    </row>
    <row r="49" spans="1:48" customHeight="1" ht="30">
      <c r="A49" s="57" t="s">
        <v>130</v>
      </c>
      <c r="B49" s="161">
        <v>65000</v>
      </c>
    </row>
    <row r="50" spans="1:48">
      <c r="A50" s="43"/>
      <c r="B50" s="36"/>
    </row>
    <row r="51" spans="1:48">
      <c r="A51" s="58" t="s">
        <v>131</v>
      </c>
      <c r="B51" s="161">
        <v>2500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80677</v>
      </c>
      <c r="C66" s="163">
        <v>62307</v>
      </c>
      <c r="D66" s="49">
        <f>INDEX(Parameters!$D$79:$D$90,MATCH(Inputs!A66,Parameters!$C$79:$C$90,0))</f>
        <v>6</v>
      </c>
    </row>
    <row r="67" spans="1:48">
      <c r="A67" s="143" t="s">
        <v>143</v>
      </c>
      <c r="B67" s="157">
        <v>85423</v>
      </c>
      <c r="C67" s="165">
        <v>76783</v>
      </c>
      <c r="D67" s="49">
        <f>INDEX(Parameters!$D$79:$D$90,MATCH(Inputs!A67,Parameters!$C$79:$C$90,0))</f>
        <v>7</v>
      </c>
    </row>
    <row r="68" spans="1:48">
      <c r="A68" s="143" t="s">
        <v>94</v>
      </c>
      <c r="B68" s="157">
        <v>162410</v>
      </c>
      <c r="C68" s="165">
        <v>85627</v>
      </c>
      <c r="D68" s="49">
        <f>INDEX(Parameters!$D$79:$D$90,MATCH(Inputs!A68,Parameters!$C$79:$C$90,0))</f>
        <v>8</v>
      </c>
    </row>
    <row r="69" spans="1:48">
      <c r="A69" s="143" t="s">
        <v>144</v>
      </c>
      <c r="B69" s="157">
        <v>177844</v>
      </c>
      <c r="C69" s="165">
        <v>108066</v>
      </c>
      <c r="D69" s="49">
        <f>INDEX(Parameters!$D$79:$D$90,MATCH(Inputs!A69,Parameters!$C$79:$C$90,0))</f>
        <v>9</v>
      </c>
    </row>
    <row r="70" spans="1:48">
      <c r="A70" s="143" t="s">
        <v>145</v>
      </c>
      <c r="B70" s="157">
        <v>274945</v>
      </c>
      <c r="C70" s="165">
        <v>334970</v>
      </c>
      <c r="D70" s="49">
        <f>INDEX(Parameters!$D$79:$D$90,MATCH(Inputs!A70,Parameters!$C$79:$C$90,0))</f>
        <v>10</v>
      </c>
    </row>
    <row r="71" spans="1:48">
      <c r="A71" s="144" t="s">
        <v>146</v>
      </c>
      <c r="B71" s="158">
        <v>124784</v>
      </c>
      <c r="C71" s="167">
        <v>14205</v>
      </c>
      <c r="D71" s="49">
        <f>INDEX(Parameters!$D$79:$D$90,MATCH(Inputs!A71,Parameters!$C$79:$C$90,0))</f>
        <v>11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7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3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  <c r="AU3" s="59">
        <f>Output!T5</f>
        <v>43252</v>
      </c>
      <c r="AV3" s="59">
        <f>Output!U5</f>
        <v>43282</v>
      </c>
      <c r="AW3" s="59">
        <f>Output!V5</f>
        <v>43313</v>
      </c>
      <c r="AX3" s="59">
        <f>Output!W5</f>
        <v>43344</v>
      </c>
      <c r="AY3" s="59">
        <f>Output!X5</f>
        <v>43374</v>
      </c>
      <c r="AZ3" s="59">
        <f>Output!Y5</f>
        <v>43405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56834.60056168698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6552.359964505265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42758</v>
      </c>
      <c r="C33" s="27">
        <f>IF(B33&lt;&gt;"",IF(COUNT($A$33:A33)&lt;=$G$39,0,$G$41)+IF(COUNT($A$33:A33)&lt;=$G$40,0,$G$42),0)</f>
        <v>34833.33333333334</v>
      </c>
      <c r="D33" s="170">
        <f>IFERROR(DATE(YEAR(B33),MONTH(B33),1)," ")</f>
        <v>42736</v>
      </c>
      <c r="F33" t="s">
        <v>152</v>
      </c>
      <c r="G33" s="128">
        <f>IF(Inputs!B79="","",DATE(YEAR(Inputs!B79),MONTH(Inputs!B79),DAY(Inputs!B79)))</f>
        <v>42720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42789</v>
      </c>
      <c r="C34" s="27">
        <f>IF(B34&lt;&gt;"",IF(COUNT($A$33:A34)&lt;=$G$39,0,$G$41)+IF(COUNT($A$33:A34)&lt;=$G$40,0,$G$42),0)</f>
        <v>34833.33333333334</v>
      </c>
      <c r="D34" s="170">
        <f>IFERROR(DATE(YEAR(B34),MONTH(B34),1)," ")</f>
        <v>42767</v>
      </c>
      <c r="F34" t="s">
        <v>153</v>
      </c>
      <c r="G34" s="128">
        <f>IF(Inputs!B80="","",DATE(YEAR(Inputs!B80),MONTH(Inputs!B80),DAY(Inputs!B80)))</f>
        <v>42758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42817</v>
      </c>
      <c r="C35" s="27">
        <f>IF(B35&lt;&gt;"",IF(COUNT($A$33:A35)&lt;=$G$39,0,$G$41)+IF(COUNT($A$33:A35)&lt;=$G$40,0,$G$42),0)</f>
        <v>34833.33333333334</v>
      </c>
      <c r="D35" s="170">
        <f>IFERROR(DATE(YEAR(B35),MONTH(B35),1)," ")</f>
        <v>42795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156</v>
      </c>
      <c r="G36" s="130">
        <f>Inputs!B82/100</f>
        <v>0.18</v>
      </c>
    </row>
    <row r="37" spans="1:52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218</v>
      </c>
      <c r="G38" s="27">
        <f>IFERROR(Inputs!B85/Inputs!B84,"")</f>
        <v>3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219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220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307</v>
      </c>
      <c r="H52" s="12" t="s">
        <v>124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93</v>
      </c>
      <c r="F77" s="12" t="s">
        <v>93</v>
      </c>
      <c r="G77" s="12" t="s">
        <v>343</v>
      </c>
      <c r="H77" s="12" t="s">
        <v>124</v>
      </c>
      <c r="I77" s="12" t="s">
        <v>344</v>
      </c>
      <c r="J77" s="136" t="s">
        <v>345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93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158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91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