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<sst xmlns="http://schemas.openxmlformats.org/spreadsheetml/2006/main" uniqueCount="374">
  <si>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</si>
  <si>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</si>
  <si>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</si>
  <si>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</si>
  <si>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</si>
  <si>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</si>
  <si>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</si>
  <si>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</si>
  <si>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</si>
  <si>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</si>
  <si>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</si>
  <si>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</si>
  <si>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</si>
  <si>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</si>
  <si>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</si>
  <si>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</si>
  <si>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</si>
  <si>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</si>
  <si>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</si>
  <si>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</si>
  <si>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</si>
  <si>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</si>
  <si>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</si>
  <si>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</si>
  <si>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</si>
  <si>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</si>
  <si>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</si>
  <si>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</si>
  <si>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</si>
  <si>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</si>
  <si>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</si>
  <si>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</si>
  <si>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</si>
  <si>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</si>
  <si>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</si>
  <si>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</si>
  <si>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</si>
  <si>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</si>
  <si>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</si>
  <si>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</si>
  <si>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</si>
  <si>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</si>
  <si>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</si>
  <si>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</si>
  <si>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</si>
  <si>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</si>
  <si>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</si>
  <si>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</si>
  <si>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</si>
  <si>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</si>
  <si>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</si>
  <si>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</si>
  <si>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</si>
  <si>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</si>
  <si>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</si>
  <si>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</si>
  <si>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</si>
  <si>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</si>
  <si>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</si>
  <si>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</si>
  <si>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</si>
  <si>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</si>
  <si>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</si>
  <si>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</si>
  <si>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</si>
  <si>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</si>
  <si>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</si>
  <si>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</si>
  <si>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</si>
  <si>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</si>
  <si>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</si>
  <si>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</si>
  <si>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</si>
  <si>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</si>
  <si>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</si>
  <si>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</si>
  <si>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</si>
  <si>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</si>
  <si>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</si>
  <si>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</si>
  <si>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</si>
  <si>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</si>
  <si>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</si>
  <si>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</si>
  <si>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</si>
  <si>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</si>
  <si>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</si>
  <si>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</si>
  <si>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</si>
  <si>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</si>
  <si>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</si>
  <si>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</si>
  <si>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</si>
  <si>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using a diesel pump</t>
  </si>
  <si>
    <t>April</t>
  </si>
  <si>
    <t>Tomatoes</t>
  </si>
  <si>
    <t>February</t>
  </si>
  <si>
    <t>Other crops</t>
  </si>
  <si>
    <t>Yes without the use of a pump</t>
  </si>
  <si>
    <t>March</t>
  </si>
  <si>
    <t>Mangoes</t>
  </si>
  <si>
    <t>Home recycled</t>
  </si>
  <si>
    <t>Yes only manure</t>
  </si>
  <si>
    <t>No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</si>
  <si>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</si>
  <si>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</si>
  <si>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</si>
  <si>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</si>
  <si>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</si>
  <si>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</si>
  <si>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</si>
  <si>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</si>
  <si>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</si>
  <si>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</si>
  <si>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</si>
  <si>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</si>
  <si>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</si>
  <si>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</si>
  <si>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</si>
  <si>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</si>
  <si>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Goat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</si>
  <si>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</si>
  <si>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</si>
  <si>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</si>
  <si>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</si>
  <si>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</si>
  <si>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Trainer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</si>
  <si>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</si>
  <si>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</si>
  <si>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</si>
  <si>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</si>
  <si>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</si>
  <si>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</si>
  <si>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</si>
  <si>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</si>
  <si>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</si>
  <si>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</si>
  <si>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</si>
  <si>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</si>
  <si>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</si>
  <si>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</si>
  <si>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</si>
  <si>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</si>
  <si>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</si>
  <si>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</si>
  <si>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</si>
  <si>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</si>
  <si>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</si>
  <si>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</si>
  <si>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</si>
  <si>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</si>
  <si>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</si>
  <si>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</si>
  <si>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</si>
  <si>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1/29/2016</t>
  </si>
  <si>
    <t>Musoni (K) LTD</t>
  </si>
  <si>
    <t>The loan is a check-off and sometimes there are delays in posting the clients' payments.</t>
  </si>
  <si>
    <t>4/8/2016</t>
  </si>
  <si>
    <t>Equity bank</t>
  </si>
  <si>
    <t>Well serviced</t>
  </si>
  <si>
    <t>3/17/2015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</si>
  <si>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</si>
  <si>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</si>
  <si>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</si>
  <si>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</si>
  <si>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</si>
  <si>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</si>
  <si>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</si>
  <si>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</si>
  <si>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</si>
  <si>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</si>
  <si>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</si>
  <si>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</si>
  <si>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2017/2/8</t>
  </si>
  <si>
    <t>Loan terms</t>
  </si>
  <si>
    <t>Expected disbursement date</t>
  </si>
  <si>
    <t>2017/2/13</t>
  </si>
  <si>
    <t>Expected first repayment date</t>
  </si>
  <si>
    <t>2017/3/17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</si>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</sst>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Tomatoes, 0, Mangoes,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</v>
      </c>
    </row>
    <row r="8" spans="1:7">
      <c r="B8" s="1" t="s">
        <v>4</v>
      </c>
      <c r="C8" t="str">
        <f>IF(Inputs!B29="","None",Inputs!B29)</f>
        <v>Trainer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0.08312127507956146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0.02860926123677313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9192.307692307691</v>
      </c>
    </row>
    <row r="17" spans="1:7">
      <c r="B17" s="1" t="s">
        <v>11</v>
      </c>
      <c r="C17" s="36">
        <f>SUM(Output!B6:M6)</f>
        <v>930839.203543914</v>
      </c>
    </row>
    <row r="18" spans="1:7">
      <c r="B18" s="1" t="s">
        <v>12</v>
      </c>
      <c r="C18" s="36">
        <f>MIN(Output!B6:M6)</f>
        <v>-5598.741574951782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258149.0965122198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-5598.741574951782</v>
      </c>
      <c r="C6" s="51">
        <f>C30-C88</f>
        <v>1830.527757993157</v>
      </c>
      <c r="D6" s="51">
        <f>D30-D88</f>
        <v>3226.765457335991</v>
      </c>
      <c r="E6" s="51">
        <f>E30-E88</f>
        <v>180588.5565516734</v>
      </c>
      <c r="F6" s="51">
        <f>F30-F88</f>
        <v>9158.940341367284</v>
      </c>
      <c r="G6" s="51">
        <f>G30-G88</f>
        <v>254760.9894214466</v>
      </c>
      <c r="H6" s="51">
        <f>H30-H88</f>
        <v>14396.4403413673</v>
      </c>
      <c r="I6" s="51">
        <f>I30-I88</f>
        <v>17496.93417834383</v>
      </c>
      <c r="J6" s="51">
        <f>J30-J88</f>
        <v>3343.596736328167</v>
      </c>
      <c r="K6" s="51">
        <f>K30-K88</f>
        <v>181640.038062603</v>
      </c>
      <c r="L6" s="51">
        <f>L30-L88</f>
        <v>11846.05975818734</v>
      </c>
      <c r="M6" s="51">
        <f>M30-M88</f>
        <v>258149.0965122198</v>
      </c>
      <c r="N6" s="51">
        <f>N30-N88</f>
        <v>17784.54743214042</v>
      </c>
      <c r="O6" s="51">
        <f>O30-O88</f>
        <v>17132.5720842343</v>
      </c>
      <c r="P6" s="51">
        <f>P30-P88</f>
        <v>3226.765457335991</v>
      </c>
      <c r="Q6" s="51">
        <f>Q30-Q88</f>
        <v>180588.5565516734</v>
      </c>
      <c r="R6" s="51">
        <f>R30-R88</f>
        <v>9158.940341367284</v>
      </c>
      <c r="S6" s="51">
        <f>S30-S88</f>
        <v>254760.9894214466</v>
      </c>
      <c r="T6" s="51">
        <f>T30-T88</f>
        <v>14396.4403413673</v>
      </c>
      <c r="U6" s="51">
        <f>U30-U88</f>
        <v>17496.93417834383</v>
      </c>
      <c r="V6" s="51">
        <f>V30-V88</f>
        <v>3343.596736328167</v>
      </c>
      <c r="W6" s="51">
        <f>W30-W88</f>
        <v>181640.038062603</v>
      </c>
      <c r="X6" s="51">
        <f>X30-X88</f>
        <v>11846.05975818734</v>
      </c>
      <c r="Y6" s="51">
        <f>Y30-Y88</f>
        <v>258149.0965122198</v>
      </c>
      <c r="Z6" s="51">
        <f>SUMIF($B$13:$Y$13,"Yes",B6:Y6)</f>
        <v>1427888.015173479</v>
      </c>
      <c r="AA6" s="51">
        <f>AA30-AA88</f>
        <v>930839.2035439144</v>
      </c>
      <c r="AB6" s="51">
        <f>AB30-AB88</f>
        <v>1900363.740421162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3994</v>
      </c>
      <c r="I7" s="80">
        <f>IF(ISERROR(VLOOKUP(MONTH(I5),Inputs!$D$66:$D$71,1,0)),"",INDEX(Inputs!$B$66:$B$71,MATCH(MONTH(Output!I5),Inputs!$D$66:$D$71,0))-INDEX(Inputs!$C$66:$C$71,MATCH(MONTH(Output!I5),Inputs!$D$66:$D$71,0)))</f>
        <v>1222</v>
      </c>
      <c r="J7" s="80">
        <f>IF(ISERROR(VLOOKUP(MONTH(J5),Inputs!$D$66:$D$71,1,0)),"",INDEX(Inputs!$B$66:$B$71,MATCH(MONTH(Output!J5),Inputs!$D$66:$D$71,0))-INDEX(Inputs!$C$66:$C$71,MATCH(MONTH(Output!J5),Inputs!$D$66:$D$71,0)))</f>
        <v>12603</v>
      </c>
      <c r="K7" s="80">
        <f>IF(ISERROR(VLOOKUP(MONTH(K5),Inputs!$D$66:$D$71,1,0)),"",INDEX(Inputs!$B$66:$B$71,MATCH(MONTH(Output!K5),Inputs!$D$66:$D$71,0))-INDEX(Inputs!$C$66:$C$71,MATCH(MONTH(Output!K5),Inputs!$D$66:$D$71,0)))</f>
        <v>-9561</v>
      </c>
      <c r="L7" s="80">
        <f>IF(ISERROR(VLOOKUP(MONTH(L5),Inputs!$D$66:$D$71,1,0)),"",INDEX(Inputs!$B$66:$B$71,MATCH(MONTH(Output!L5),Inputs!$D$66:$D$71,0))-INDEX(Inputs!$C$66:$C$71,MATCH(MONTH(Output!L5),Inputs!$D$66:$D$71,0)))</f>
        <v>1800</v>
      </c>
      <c r="M7" s="80">
        <f>IF(ISERROR(VLOOKUP(MONTH(M5),Inputs!$D$66:$D$71,1,0)),"",INDEX(Inputs!$B$66:$B$71,MATCH(MONTH(Output!M5),Inputs!$D$66:$D$71,0))-INDEX(Inputs!$C$66:$C$71,MATCH(MONTH(Output!M5),Inputs!$D$66:$D$71,0)))</f>
        <v>1100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3994</v>
      </c>
      <c r="U7" s="80">
        <f>IF(ISERROR(VLOOKUP(MONTH(U5),Inputs!$D$66:$D$71,1,0)),"",INDEX(Inputs!$B$66:$B$71,MATCH(MONTH(Output!U5),Inputs!$D$66:$D$71,0))-INDEX(Inputs!$C$66:$C$71,MATCH(MONTH(Output!U5),Inputs!$D$66:$D$71,0)))</f>
        <v>1222</v>
      </c>
      <c r="V7" s="80">
        <f>IF(ISERROR(VLOOKUP(MONTH(V5),Inputs!$D$66:$D$71,1,0)),"",INDEX(Inputs!$B$66:$B$71,MATCH(MONTH(Output!V5),Inputs!$D$66:$D$71,0))-INDEX(Inputs!$C$66:$C$71,MATCH(MONTH(Output!V5),Inputs!$D$66:$D$71,0)))</f>
        <v>12603</v>
      </c>
      <c r="W7" s="80">
        <f>IF(ISERROR(VLOOKUP(MONTH(W5),Inputs!$D$66:$D$71,1,0)),"",INDEX(Inputs!$B$66:$B$71,MATCH(MONTH(Output!W5),Inputs!$D$66:$D$71,0))-INDEX(Inputs!$C$66:$C$71,MATCH(MONTH(Output!W5),Inputs!$D$66:$D$71,0)))</f>
        <v>-9561</v>
      </c>
      <c r="X7" s="80">
        <f>IF(ISERROR(VLOOKUP(MONTH(X5),Inputs!$D$66:$D$71,1,0)),"",INDEX(Inputs!$B$66:$B$71,MATCH(MONTH(Output!X5),Inputs!$D$66:$D$71,0))-INDEX(Inputs!$C$66:$C$71,MATCH(MONTH(Output!X5),Inputs!$D$66:$D$71,0)))</f>
        <v>1800</v>
      </c>
      <c r="Y7" s="80">
        <f>IF(ISERROR(VLOOKUP(MONTH(Y5),Inputs!$D$66:$D$71,1,0)),"",INDEX(Inputs!$B$66:$B$71,MATCH(MONTH(Output!Y5),Inputs!$D$66:$D$71,0))-INDEX(Inputs!$C$66:$C$71,MATCH(MONTH(Output!Y5),Inputs!$D$66:$D$71,0)))</f>
        <v>1100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9192.307692307691</v>
      </c>
      <c r="I10" s="37">
        <f>SUMPRODUCT((Calculations!$D$33:$D$84=Output!I5)+0,Calculations!$C$33:$C$84)</f>
        <v>9192.307692307691</v>
      </c>
      <c r="J10" s="37">
        <f>SUMPRODUCT((Calculations!$D$33:$D$84=Output!J5)+0,Calculations!$C$33:$C$84)</f>
        <v>9192.307692307691</v>
      </c>
      <c r="K10" s="37">
        <f>SUMPRODUCT((Calculations!$D$33:$D$84=Output!K5)+0,Calculations!$C$33:$C$84)</f>
        <v>9192.307692307691</v>
      </c>
      <c r="L10" s="37">
        <f>SUMPRODUCT((Calculations!$D$33:$D$84=Output!L5)+0,Calculations!$C$33:$C$84)</f>
        <v>9192.307692307691</v>
      </c>
      <c r="M10" s="37">
        <f>SUMPRODUCT((Calculations!$D$33:$D$84=Output!M5)+0,Calculations!$C$33:$C$84)</f>
        <v>9192.307692307691</v>
      </c>
      <c r="N10" s="37">
        <f>SUMPRODUCT((Calculations!$D$33:$D$84=Output!N5)+0,Calculations!$C$33:$C$84)</f>
        <v>9192.307692307691</v>
      </c>
      <c r="O10" s="37">
        <f>SUMPRODUCT((Calculations!$D$33:$D$84=Output!O5)+0,Calculations!$C$33:$C$84)</f>
        <v>9192.307692307691</v>
      </c>
      <c r="P10" s="37">
        <f>SUMPRODUCT((Calculations!$D$33:$D$84=Output!P5)+0,Calculations!$C$33:$C$84)</f>
        <v>9192.307692307691</v>
      </c>
      <c r="Q10" s="37">
        <f>SUMPRODUCT((Calculations!$D$33:$D$84=Output!Q5)+0,Calculations!$C$33:$C$84)</f>
        <v>9192.307692307691</v>
      </c>
      <c r="R10" s="37">
        <f>SUMPRODUCT((Calculations!$D$33:$D$84=Output!R5)+0,Calculations!$C$33:$C$84)</f>
        <v>9192.307692307691</v>
      </c>
      <c r="S10" s="37">
        <f>SUMPRODUCT((Calculations!$D$33:$D$84=Output!S5)+0,Calculations!$C$33:$C$84)</f>
        <v>9192.307692307691</v>
      </c>
      <c r="T10" s="37">
        <f>SUMPRODUCT((Calculations!$D$33:$D$84=Output!T5)+0,Calculations!$C$33:$C$84)</f>
        <v>9192.307692307691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127000</v>
      </c>
      <c r="AA10" s="37">
        <f>SUM(B10:M10)</f>
        <v>62653.84615384614</v>
      </c>
      <c r="AB10" s="37">
        <f>SUM(B10:Y10)</f>
        <v>127000</v>
      </c>
    </row>
    <row r="11" spans="1:30" customHeight="1" ht="15.75">
      <c r="A11" s="43" t="s">
        <v>31</v>
      </c>
      <c r="B11" s="80">
        <f>B6+B9-B10</f>
        <v>94401.25842504822</v>
      </c>
      <c r="C11" s="80">
        <f>C6+C9-C10</f>
        <v>330.5277579931571</v>
      </c>
      <c r="D11" s="80">
        <f>D6+D9-D10</f>
        <v>1726.765457335991</v>
      </c>
      <c r="E11" s="80">
        <f>E6+E9-E10</f>
        <v>179088.5565516734</v>
      </c>
      <c r="F11" s="80">
        <f>F6+F9-F10</f>
        <v>7658.940341367284</v>
      </c>
      <c r="G11" s="80">
        <f>G6+G9-G10</f>
        <v>253260.9894214466</v>
      </c>
      <c r="H11" s="80">
        <f>H6+H9-H10</f>
        <v>5204.132649059608</v>
      </c>
      <c r="I11" s="80">
        <f>I6+I9-I10</f>
        <v>8304.626486036137</v>
      </c>
      <c r="J11" s="80">
        <f>J6+J9-J10</f>
        <v>-5848.710955979524</v>
      </c>
      <c r="K11" s="80">
        <f>K6+K9-K10</f>
        <v>172447.7303702953</v>
      </c>
      <c r="L11" s="80">
        <f>L6+L9-L10</f>
        <v>2653.752065879653</v>
      </c>
      <c r="M11" s="80">
        <f>M6+M9-M10</f>
        <v>248956.7888199121</v>
      </c>
      <c r="N11" s="80">
        <f>N6+N9-N10</f>
        <v>8592.239739832727</v>
      </c>
      <c r="O11" s="80">
        <f>O6+O9-O10</f>
        <v>7940.264391926608</v>
      </c>
      <c r="P11" s="80">
        <f>P6+P9-P10</f>
        <v>-5965.542234971701</v>
      </c>
      <c r="Q11" s="80">
        <f>Q6+Q9-Q10</f>
        <v>171396.2488593657</v>
      </c>
      <c r="R11" s="80">
        <f>R6+R9-R10</f>
        <v>-33.36735094040705</v>
      </c>
      <c r="S11" s="80">
        <f>S6+S9-S10</f>
        <v>245568.6817291389</v>
      </c>
      <c r="T11" s="80">
        <f>T6+T9-T10</f>
        <v>5204.132649059608</v>
      </c>
      <c r="U11" s="80">
        <f>U6+U9-U10</f>
        <v>17496.93417834383</v>
      </c>
      <c r="V11" s="80">
        <f>V6+V9-V10</f>
        <v>3343.596736328167</v>
      </c>
      <c r="W11" s="80">
        <f>W6+W9-W10</f>
        <v>181640.038062603</v>
      </c>
      <c r="X11" s="80">
        <f>X6+X9-X10</f>
        <v>11846.05975818734</v>
      </c>
      <c r="Y11" s="80">
        <f>Y6+Y9-Y10</f>
        <v>258149.0965122198</v>
      </c>
      <c r="Z11" s="85">
        <f>SUMIF($B$13:$Y$13,"Yes",B11:Y11)</f>
        <v>1400888.015173479</v>
      </c>
      <c r="AA11" s="80">
        <f>SUM(B11:M11)</f>
        <v>968185.3573900678</v>
      </c>
      <c r="AB11" s="46">
        <f>SUM(B11:Y11)</f>
        <v>1873363.740421161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0.01558736525109143</v>
      </c>
      <c r="D12" s="82">
        <f>IF(D13="Yes",IF(SUM($B$10:D10)/(SUM($B$6:D6)+SUM($B$9:D9))&lt;0,999.99,SUM($B$10:D10)/(SUM($B$6:D6)+SUM($B$9:D9))),"")</f>
        <v>0.03016331879482231</v>
      </c>
      <c r="E12" s="82">
        <f>IF(E13="Yes",IF(SUM($B$10:E10)/(SUM($B$6:E6)+SUM($B$9:E9))&lt;0,999.99,SUM($B$10:E10)/(SUM($B$6:E6)+SUM($B$9:E9))),"")</f>
        <v>0.01606872511218359</v>
      </c>
      <c r="F12" s="82">
        <f>IF(F13="Yes",IF(SUM($B$10:F10)/(SUM($B$6:F6)+SUM($B$9:F9))&lt;0,999.99,SUM($B$10:F10)/(SUM($B$6:F6)+SUM($B$9:F9))),"")</f>
        <v>0.02074645406078599</v>
      </c>
      <c r="G12" s="82">
        <f>IF(G13="Yes",IF(SUM($B$10:G10)/(SUM($B$6:G6)+SUM($B$9:G9))&lt;0,999.99,SUM($B$10:G10)/(SUM($B$6:G6)+SUM($B$9:G9))),"")</f>
        <v>0.01378760012407647</v>
      </c>
      <c r="H12" s="82">
        <f>IF(H13="Yes",IF(SUM($B$10:H10)/(SUM($B$6:H6)+SUM($B$9:H9))&lt;0,999.99,SUM($B$10:H10)/(SUM($B$6:H6)+SUM($B$9:H9))),"")</f>
        <v>0.02989505643034164</v>
      </c>
      <c r="I12" s="82">
        <f>IF(I13="Yes",IF(SUM($B$10:I10)/(SUM($B$6:I6)+SUM($B$9:I9))&lt;0,999.99,SUM($B$10:I10)/(SUM($B$6:I6)+SUM($B$9:I9))),"")</f>
        <v>0.04494946140399638</v>
      </c>
      <c r="J12" s="82">
        <f>IF(J13="Yes",IF(SUM($B$10:J10)/(SUM($B$6:J6)+SUM($B$9:J9))&lt;0,999.99,SUM($B$10:J10)/(SUM($B$6:J6)+SUM($B$9:J9))),"")</f>
        <v>0.06056056677630942</v>
      </c>
      <c r="K12" s="82">
        <f>IF(K13="Yes",IF(SUM($B$10:K10)/(SUM($B$6:K6)+SUM($B$9:K9))&lt;0,999.99,SUM($B$10:K10)/(SUM($B$6:K6)+SUM($B$9:K9))),"")</f>
        <v>0.0581843689621678</v>
      </c>
      <c r="L12" s="82">
        <f>IF(L13="Yes",IF(SUM($B$10:L10)/(SUM($B$6:L6)+SUM($B$9:L9))&lt;0,999.99,SUM($B$10:L10)/(SUM($B$6:L6)+SUM($B$9:L9))),"")</f>
        <v>0.06918884812297146</v>
      </c>
      <c r="M12" s="82">
        <f>IF(M13="Yes",IF(SUM($B$10:M10)/(SUM($B$6:M6)+SUM($B$9:M9))&lt;0,999.99,SUM($B$10:M10)/(SUM($B$6:M6)+SUM($B$9:M9))),"")</f>
        <v>0.06077945613481615</v>
      </c>
      <c r="N12" s="82">
        <f>IF(N13="Yes",IF(SUM($B$10:N10)/(SUM($B$6:N6)+SUM($B$9:N9))&lt;0,999.99,SUM($B$10:N10)/(SUM($B$6:N6)+SUM($B$9:N9))),"")</f>
        <v>0.06851471157245842</v>
      </c>
      <c r="O12" s="82">
        <f>IF(O13="Yes",IF(SUM($B$10:O10)/(SUM($B$6:O6)+SUM($B$9:O9))&lt;0,999.99,SUM($B$10:O10)/(SUM($B$6:O6)+SUM($B$9:O9))),"")</f>
        <v>0.07603845249143058</v>
      </c>
      <c r="P12" s="82">
        <f>IF(P13="Yes",IF(SUM($B$10:P10)/(SUM($B$6:P6)+SUM($B$9:P9))&lt;0,999.99,SUM($B$10:P10)/(SUM($B$6:P6)+SUM($B$9:P9))),"")</f>
        <v>0.08440804181092666</v>
      </c>
      <c r="Q12" s="82">
        <f>IF(Q13="Yes",IF(SUM($B$10:Q10)/(SUM($B$6:Q6)+SUM($B$9:Q9))&lt;0,999.99,SUM($B$10:Q10)/(SUM($B$6:Q6)+SUM($B$9:Q9))),"")</f>
        <v>0.07956572743579111</v>
      </c>
      <c r="R12" s="82">
        <f>IF(R13="Yes",IF(SUM($B$10:R10)/(SUM($B$6:R6)+SUM($B$9:R9))&lt;0,999.99,SUM($B$10:R10)/(SUM($B$6:R6)+SUM($B$9:R9))),"")</f>
        <v>0.08628962057035296</v>
      </c>
      <c r="S12" s="82">
        <f>IF(S13="Yes",IF(SUM($B$10:S10)/(SUM($B$6:S6)+SUM($B$9:S9))&lt;0,999.99,SUM($B$10:S10)/(SUM($B$6:S6)+SUM($B$9:S9))),"")</f>
        <v>0.07783835355724421</v>
      </c>
      <c r="T12" s="82">
        <f>IF(T13="Yes",IF(SUM($B$10:T10)/(SUM($B$6:T6)+SUM($B$9:T9))&lt;0,999.99,SUM($B$10:T10)/(SUM($B$6:T6)+SUM($B$9:T9))),"")</f>
        <v>0.08312127507956146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240002.0490800794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240002.0490800794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240002.0490800794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240002.0490800794</v>
      </c>
      <c r="Z18" s="36">
        <f>SUMIF($B$13:$Y$13,"Yes",B18:Y18)</f>
        <v>720006.1472402381</v>
      </c>
      <c r="AA18" s="36">
        <f>SUM(B18:M18)</f>
        <v>480004.0981601588</v>
      </c>
      <c r="AB18" s="36">
        <f>SUM(B18:Y18)</f>
        <v>960008.1963203176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168117.1162103061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168117.1162103061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168117.1162103061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168117.1162103061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504351.3486309183</v>
      </c>
      <c r="AA19" s="36">
        <f>SUM(B19:M19)</f>
        <v>336234.2324206122</v>
      </c>
      <c r="AB19" s="36">
        <f>SUM(B19:Y19)</f>
        <v>672468.4648412244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Mangoes</v>
      </c>
      <c r="B21" s="36">
        <f>N21</f>
        <v>3504.938369765307</v>
      </c>
      <c r="C21" s="36">
        <f>O21</f>
        <v>2102.963021859183</v>
      </c>
      <c r="D21" s="36">
        <f>P21</f>
        <v>584.1563949608844</v>
      </c>
      <c r="E21" s="36">
        <f>Q21</f>
        <v>116.8312789921769</v>
      </c>
      <c r="F21" s="36">
        <f>R21</f>
        <v>116.8312789921769</v>
      </c>
      <c r="G21" s="36">
        <f>S21</f>
        <v>116.8312789921769</v>
      </c>
      <c r="H21" s="36">
        <f>T21</f>
        <v>116.8312789921769</v>
      </c>
      <c r="I21" s="36">
        <f>U21</f>
        <v>467.3251159687075</v>
      </c>
      <c r="J21" s="36">
        <f>V21</f>
        <v>700.9876739530613</v>
      </c>
      <c r="K21" s="36">
        <f>W21</f>
        <v>1168.312789921769</v>
      </c>
      <c r="L21" s="36">
        <f>X21</f>
        <v>2803.950695812245</v>
      </c>
      <c r="M21" s="36">
        <f>Y21</f>
        <v>3504.938369765307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3504.938369765307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2102.963021859183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584.1563949608844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116.8312789921769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116.8312789921769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116.8312789921769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116.8312789921769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467.3251159687075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700.9876739530613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1168.312789921769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2803.950695812245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3504.938369765307</v>
      </c>
      <c r="Z21" s="36">
        <f>SUMIF($B$13:$Y$13,"Yes",B21:Y21)</f>
        <v>21964.28045052925</v>
      </c>
      <c r="AA21" s="36">
        <f>SUM(B21:M21)</f>
        <v>15304.89754797517</v>
      </c>
      <c r="AB21" s="36">
        <f>SUM(B21:Y21)</f>
        <v>30609.79509595034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1213625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2500</v>
      </c>
      <c r="C25" s="36">
        <f>IFERROR(Calculations!$P15/12,"")</f>
        <v>2500</v>
      </c>
      <c r="D25" s="36">
        <f>IFERROR(Calculations!$P15/12,"")</f>
        <v>2500</v>
      </c>
      <c r="E25" s="36">
        <f>IFERROR(Calculations!$P15/12,"")</f>
        <v>2500</v>
      </c>
      <c r="F25" s="36">
        <f>IFERROR(Calculations!$P15/12,"")</f>
        <v>2500</v>
      </c>
      <c r="G25" s="36">
        <f>IFERROR(Calculations!$P15/12,"")</f>
        <v>2500</v>
      </c>
      <c r="H25" s="36">
        <f>IFERROR(Calculations!$P15/12,"")</f>
        <v>2500</v>
      </c>
      <c r="I25" s="36">
        <f>IFERROR(Calculations!$P15/12,"")</f>
        <v>2500</v>
      </c>
      <c r="J25" s="36">
        <f>IFERROR(Calculations!$P15/12,"")</f>
        <v>2500</v>
      </c>
      <c r="K25" s="36">
        <f>IFERROR(Calculations!$P15/12,"")</f>
        <v>2500</v>
      </c>
      <c r="L25" s="36">
        <f>IFERROR(Calculations!$P15/12,"")</f>
        <v>2500</v>
      </c>
      <c r="M25" s="36">
        <f>IFERROR(Calculations!$P15/12,"")</f>
        <v>2500</v>
      </c>
      <c r="N25" s="36">
        <f>IFERROR(Calculations!$P15/12,"")</f>
        <v>2500</v>
      </c>
      <c r="O25" s="36">
        <f>IFERROR(Calculations!$P15/12,"")</f>
        <v>2500</v>
      </c>
      <c r="P25" s="36">
        <f>IFERROR(Calculations!$P15/12,"")</f>
        <v>2500</v>
      </c>
      <c r="Q25" s="36">
        <f>IFERROR(Calculations!$P15/12,"")</f>
        <v>2500</v>
      </c>
      <c r="R25" s="36">
        <f>IFERROR(Calculations!$P15/12,"")</f>
        <v>2500</v>
      </c>
      <c r="S25" s="36">
        <f>IFERROR(Calculations!$P15/12,"")</f>
        <v>2500</v>
      </c>
      <c r="T25" s="36">
        <f>IFERROR(Calculations!$P15/12,"")</f>
        <v>2500</v>
      </c>
      <c r="U25" s="36">
        <f>IFERROR(Calculations!$P15/12,"")</f>
        <v>2500</v>
      </c>
      <c r="V25" s="36">
        <f>IFERROR(Calculations!$P15/12,"")</f>
        <v>2500</v>
      </c>
      <c r="W25" s="36">
        <f>IFERROR(Calculations!$P15/12,"")</f>
        <v>2500</v>
      </c>
      <c r="X25" s="36">
        <f>IFERROR(Calculations!$P15/12,"")</f>
        <v>2500</v>
      </c>
      <c r="Y25" s="36">
        <f>IFERROR(Calculations!$P15/12,"")</f>
        <v>2500</v>
      </c>
      <c r="Z25" s="36">
        <f>SUMIF($B$13:$Y$13,"Yes",B25:Y25)</f>
        <v>47500</v>
      </c>
      <c r="AA25" s="36">
        <f>SUM(B25:M25)</f>
        <v>30000</v>
      </c>
      <c r="AB25" s="46">
        <f>SUM(B25:Y25)</f>
        <v>60000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285000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84879.9383697653</v>
      </c>
      <c r="C30" s="19">
        <f>SUM(C18:C29)</f>
        <v>83477.96302185918</v>
      </c>
      <c r="D30" s="19">
        <f>SUM(D18:D29)</f>
        <v>81959.15639496088</v>
      </c>
      <c r="E30" s="19">
        <f>SUM(E18:E29)</f>
        <v>249608.9474892983</v>
      </c>
      <c r="F30" s="19">
        <f>SUM(F18:F29)</f>
        <v>81491.83127899218</v>
      </c>
      <c r="G30" s="19">
        <f>SUM(G18:G29)</f>
        <v>321493.8803590715</v>
      </c>
      <c r="H30" s="19">
        <f>SUM(H18:H29)</f>
        <v>81491.83127899218</v>
      </c>
      <c r="I30" s="19">
        <f>SUM(I18:I29)</f>
        <v>81842.32511596871</v>
      </c>
      <c r="J30" s="19">
        <f>SUM(J18:J29)</f>
        <v>82075.98767395306</v>
      </c>
      <c r="K30" s="19">
        <f>SUM(K18:K29)</f>
        <v>250660.4290002279</v>
      </c>
      <c r="L30" s="19">
        <f>SUM(L18:L29)</f>
        <v>84178.95069581224</v>
      </c>
      <c r="M30" s="19">
        <f>SUM(M18:M29)</f>
        <v>324881.9874498447</v>
      </c>
      <c r="N30" s="19">
        <f>SUM(N18:N29)</f>
        <v>84879.9383697653</v>
      </c>
      <c r="O30" s="19">
        <f>SUM(O18:O29)</f>
        <v>83477.96302185918</v>
      </c>
      <c r="P30" s="19">
        <f>SUM(P18:P29)</f>
        <v>81959.15639496088</v>
      </c>
      <c r="Q30" s="19">
        <f>SUM(Q18:Q29)</f>
        <v>249608.9474892983</v>
      </c>
      <c r="R30" s="19">
        <f>SUM(R18:R29)</f>
        <v>81491.83127899218</v>
      </c>
      <c r="S30" s="19">
        <f>SUM(S18:S29)</f>
        <v>321493.8803590715</v>
      </c>
      <c r="T30" s="19">
        <f>SUM(T18:T29)</f>
        <v>81491.83127899218</v>
      </c>
      <c r="U30" s="19">
        <f>SUM(U18:U29)</f>
        <v>81842.32511596871</v>
      </c>
      <c r="V30" s="19">
        <f>SUM(V18:V29)</f>
        <v>82075.98767395306</v>
      </c>
      <c r="W30" s="19">
        <f>SUM(W18:W29)</f>
        <v>250660.4290002279</v>
      </c>
      <c r="X30" s="19">
        <f>SUM(X18:X29)</f>
        <v>84178.95069581224</v>
      </c>
      <c r="Y30" s="19">
        <f>SUM(Y18:Y29)</f>
        <v>324881.9874498447</v>
      </c>
      <c r="Z30" s="19">
        <f>SUMIF($B$13:$Y$13,"Yes",B30:Y30)</f>
        <v>2792446.776321686</v>
      </c>
      <c r="AA30" s="19">
        <f>SUM(B30:M30)</f>
        <v>1808043.228128746</v>
      </c>
      <c r="AB30" s="19">
        <f>SUM(B30:Y30)</f>
        <v>3616086.456257493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2166.666666666667</v>
      </c>
      <c r="C36" s="36">
        <f>O36</f>
        <v>2166.666666666667</v>
      </c>
      <c r="D36" s="36">
        <f>P36</f>
        <v>4166.666666666667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2166.666666666667</v>
      </c>
      <c r="I36" s="36">
        <f>U36</f>
        <v>166.6666666666667</v>
      </c>
      <c r="J36" s="36">
        <f>V36</f>
        <v>4166.666666666667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2166.666666666667</v>
      </c>
      <c r="O36" s="36">
        <f>SUM(O37:O41)</f>
        <v>2166.666666666667</v>
      </c>
      <c r="P36" s="36">
        <f>SUM(P37:P41)</f>
        <v>4166.666666666667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2166.666666666667</v>
      </c>
      <c r="U36" s="36">
        <f>SUM(U37:U41)</f>
        <v>166.6666666666667</v>
      </c>
      <c r="V36" s="36">
        <f>SUM(V37:V41)</f>
        <v>4166.666666666667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27166.66666666667</v>
      </c>
      <c r="AA36" s="36">
        <f>SUM(B36:M36)</f>
        <v>15999.99999999999</v>
      </c>
      <c r="AB36" s="36">
        <f>SUM(B36:Y36)</f>
        <v>32000.00000000001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4000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4000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Tomatoes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2000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2000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Mangoes</v>
      </c>
      <c r="B40" s="36">
        <f>N40</f>
        <v>166.6666666666667</v>
      </c>
      <c r="C40" s="36">
        <f>O40</f>
        <v>166.6666666666667</v>
      </c>
      <c r="D40" s="36">
        <f>P40</f>
        <v>166.6666666666667</v>
      </c>
      <c r="E40" s="36">
        <f>Q40</f>
        <v>166.6666666666667</v>
      </c>
      <c r="F40" s="36">
        <f>R40</f>
        <v>166.6666666666667</v>
      </c>
      <c r="G40" s="36">
        <f>S40</f>
        <v>166.6666666666667</v>
      </c>
      <c r="H40" s="36">
        <f>T40</f>
        <v>166.6666666666667</v>
      </c>
      <c r="I40" s="36">
        <f>U40</f>
        <v>166.6666666666667</v>
      </c>
      <c r="J40" s="36">
        <f>V40</f>
        <v>166.6666666666667</v>
      </c>
      <c r="K40" s="36">
        <f>W40</f>
        <v>166.6666666666667</v>
      </c>
      <c r="L40" s="36">
        <f>X40</f>
        <v>166.6666666666667</v>
      </c>
      <c r="M40" s="36">
        <f>Y40</f>
        <v>166.6666666666667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166.6666666666667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166.6666666666667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166.6666666666667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166.6666666666667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166.6666666666667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166.6666666666667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166.6666666666667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166.6666666666667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166.6666666666667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166.6666666666667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166.6666666666667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166.6666666666667</v>
      </c>
      <c r="Z40" s="36">
        <f>SUMIF($B$13:$Y$13,"Yes",B40:Y40)</f>
        <v>3166.666666666666</v>
      </c>
      <c r="AA40" s="36">
        <f>SUM(B40:M40)</f>
        <v>2000</v>
      </c>
      <c r="AB40" s="36">
        <f>SUM(B40:Y40)</f>
        <v>3999.999999999999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750</v>
      </c>
      <c r="C42" s="36">
        <f>O42</f>
        <v>0</v>
      </c>
      <c r="D42" s="36">
        <f>P42</f>
        <v>1212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</v>
      </c>
      <c r="I42" s="36">
        <f>U42</f>
        <v>0</v>
      </c>
      <c r="J42" s="36">
        <f>V42</f>
        <v>1212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750</v>
      </c>
      <c r="O42" s="36">
        <f>SUM(O43:O47)</f>
        <v>0</v>
      </c>
      <c r="P42" s="36">
        <f>SUM(P43:P47)</f>
        <v>1212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</v>
      </c>
      <c r="U42" s="36">
        <f>SUM(U43:U47)</f>
        <v>0</v>
      </c>
      <c r="V42" s="36">
        <f>SUM(V43:V47)</f>
        <v>1212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6636</v>
      </c>
      <c r="AA42" s="36">
        <f>SUM(B42:M42)</f>
        <v>3924</v>
      </c>
      <c r="AB42" s="36">
        <f>SUM(B42:Y42)</f>
        <v>7848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1212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1212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1212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1212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</v>
      </c>
      <c r="AA43" s="36">
        <f>SUM(B43:M43)</f>
        <v>2424</v>
      </c>
      <c r="AB43" s="36">
        <f>SUM(B43:Y43)</f>
        <v>4848</v>
      </c>
    </row>
    <row r="44" spans="1:30" hidden="true" outlineLevel="1">
      <c r="A44" s="181" t="str">
        <f>Calculations!$A$5</f>
        <v>Tomatoes</v>
      </c>
      <c r="B44" s="36">
        <f>N44</f>
        <v>750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750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750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750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Mangoes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4500</v>
      </c>
      <c r="E48" s="36">
        <f>Q48</f>
        <v>0</v>
      </c>
      <c r="F48" s="36">
        <f>R48</f>
        <v>5600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4500</v>
      </c>
      <c r="K48" s="36">
        <f>W48</f>
        <v>0</v>
      </c>
      <c r="L48" s="36">
        <f>X48</f>
        <v>5600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4500</v>
      </c>
      <c r="Q48" s="46">
        <f>SUM(Q49:Q53)</f>
        <v>0</v>
      </c>
      <c r="R48" s="46">
        <f>SUM(R49:R53)</f>
        <v>5600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4500</v>
      </c>
      <c r="W48" s="46">
        <f>SUM(W49:W53)</f>
        <v>0</v>
      </c>
      <c r="X48" s="46">
        <f>SUM(X49:X53)</f>
        <v>5600</v>
      </c>
      <c r="Y48" s="46">
        <f>SUM(Y49:Y53)</f>
        <v>0</v>
      </c>
      <c r="Z48" s="46">
        <f>SUMIF($B$13:$Y$13,"Yes",B48:Y48)</f>
        <v>30300</v>
      </c>
      <c r="AA48" s="46">
        <f>SUM(B48:M48)</f>
        <v>20200</v>
      </c>
      <c r="AB48" s="46">
        <f>SUM(B48:Y48)</f>
        <v>40400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5600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5600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5600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5600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16800</v>
      </c>
      <c r="AA49" s="46">
        <f>SUM(B49:M49)</f>
        <v>11200</v>
      </c>
      <c r="AB49" s="46">
        <f>SUM(B49:Y49)</f>
        <v>22400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4500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4500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4500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4500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13500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Mangoes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Mangoes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1500</v>
      </c>
      <c r="C60" s="36">
        <f>O60</f>
        <v>1500</v>
      </c>
      <c r="D60" s="36">
        <f>P60</f>
        <v>5500</v>
      </c>
      <c r="E60" s="36">
        <f>Q60</f>
        <v>5500</v>
      </c>
      <c r="F60" s="36">
        <f>R60</f>
        <v>4000</v>
      </c>
      <c r="G60" s="36">
        <f>S60</f>
        <v>4000</v>
      </c>
      <c r="H60" s="36">
        <f>T60</f>
        <v>1500</v>
      </c>
      <c r="I60" s="36">
        <f>U60</f>
        <v>1500</v>
      </c>
      <c r="J60" s="36">
        <f>V60</f>
        <v>5500</v>
      </c>
      <c r="K60" s="36">
        <f>W60</f>
        <v>5500</v>
      </c>
      <c r="L60" s="36">
        <f>X60</f>
        <v>4000</v>
      </c>
      <c r="M60" s="36">
        <f>Y60</f>
        <v>4000</v>
      </c>
      <c r="N60" s="46">
        <f>SUM(N61:N65)</f>
        <v>1500</v>
      </c>
      <c r="O60" s="46">
        <f>SUM(O61:O65)</f>
        <v>1500</v>
      </c>
      <c r="P60" s="46">
        <f>SUM(P61:P65)</f>
        <v>5500</v>
      </c>
      <c r="Q60" s="46">
        <f>SUM(Q61:Q65)</f>
        <v>5500</v>
      </c>
      <c r="R60" s="46">
        <f>SUM(R61:R65)</f>
        <v>4000</v>
      </c>
      <c r="S60" s="46">
        <f>SUM(S61:S65)</f>
        <v>4000</v>
      </c>
      <c r="T60" s="46">
        <f>SUM(T61:T65)</f>
        <v>1500</v>
      </c>
      <c r="U60" s="46">
        <f>SUM(U61:U65)</f>
        <v>1500</v>
      </c>
      <c r="V60" s="46">
        <f>SUM(V61:V65)</f>
        <v>5500</v>
      </c>
      <c r="W60" s="46">
        <f>SUM(W61:W65)</f>
        <v>5500</v>
      </c>
      <c r="X60" s="46">
        <f>SUM(X61:X65)</f>
        <v>4000</v>
      </c>
      <c r="Y60" s="46">
        <f>SUM(Y61:Y65)</f>
        <v>4000</v>
      </c>
      <c r="Z60" s="46">
        <f>SUMIF($B$13:$Y$13,"Yes",B60:Y60)</f>
        <v>67500</v>
      </c>
      <c r="AA60" s="46">
        <f>SUM(B60:M60)</f>
        <v>44000</v>
      </c>
      <c r="AB60" s="46">
        <f>SUM(B60:Y60)</f>
        <v>88000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4000</v>
      </c>
      <c r="E61" s="36">
        <f>Q61</f>
        <v>4000</v>
      </c>
      <c r="F61" s="36">
        <f>R61</f>
        <v>4000</v>
      </c>
      <c r="G61" s="36">
        <f>S61</f>
        <v>4000</v>
      </c>
      <c r="H61" s="36">
        <f>T61</f>
        <v>0</v>
      </c>
      <c r="I61" s="36">
        <f>U61</f>
        <v>0</v>
      </c>
      <c r="J61" s="36">
        <f>V61</f>
        <v>4000</v>
      </c>
      <c r="K61" s="36">
        <f>W61</f>
        <v>4000</v>
      </c>
      <c r="L61" s="36">
        <f>X61</f>
        <v>4000</v>
      </c>
      <c r="M61" s="36">
        <f>Y61</f>
        <v>4000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4000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4000</v>
      </c>
      <c r="Z61" s="46">
        <f>SUMIF($B$13:$Y$13,"Yes",B61:Y61)</f>
        <v>48000</v>
      </c>
      <c r="AA61" s="46">
        <f>SUM(B61:M61)</f>
        <v>32000</v>
      </c>
      <c r="AB61" s="46">
        <f>SUM(B61:Y61)</f>
        <v>64000</v>
      </c>
    </row>
    <row r="62" spans="1:30" hidden="true" outlineLevel="1">
      <c r="A62" s="181" t="str">
        <f>Calculations!$A$5</f>
        <v>Tomatoes</v>
      </c>
      <c r="B62" s="36">
        <f>N62</f>
        <v>1500</v>
      </c>
      <c r="C62" s="36">
        <f>O62</f>
        <v>1500</v>
      </c>
      <c r="D62" s="36">
        <f>P62</f>
        <v>1500</v>
      </c>
      <c r="E62" s="36">
        <f>Q62</f>
        <v>1500</v>
      </c>
      <c r="F62" s="36">
        <f>R62</f>
        <v>0</v>
      </c>
      <c r="G62" s="36">
        <f>S62</f>
        <v>0</v>
      </c>
      <c r="H62" s="36">
        <f>T62</f>
        <v>1500</v>
      </c>
      <c r="I62" s="36">
        <f>U62</f>
        <v>1500</v>
      </c>
      <c r="J62" s="36">
        <f>V62</f>
        <v>1500</v>
      </c>
      <c r="K62" s="36">
        <f>W62</f>
        <v>1500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1500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1500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1500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1500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1500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1500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19500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Mangoes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847.5000000000002</v>
      </c>
      <c r="C66" s="36">
        <f>O66</f>
        <v>847.5000000000002</v>
      </c>
      <c r="D66" s="36">
        <f>P66</f>
        <v>1522.5</v>
      </c>
      <c r="E66" s="36">
        <f>Q66</f>
        <v>1522.5</v>
      </c>
      <c r="F66" s="36">
        <f>R66</f>
        <v>735.0000000000002</v>
      </c>
      <c r="G66" s="36">
        <f>S66</f>
        <v>735.0000000000002</v>
      </c>
      <c r="H66" s="36">
        <f>T66</f>
        <v>847.5000000000002</v>
      </c>
      <c r="I66" s="36">
        <f>U66</f>
        <v>847.5000000000002</v>
      </c>
      <c r="J66" s="36">
        <f>V66</f>
        <v>1522.5</v>
      </c>
      <c r="K66" s="36">
        <f>W66</f>
        <v>1522.5</v>
      </c>
      <c r="L66" s="36">
        <f>X66</f>
        <v>735.0000000000002</v>
      </c>
      <c r="M66" s="36">
        <f>Y66</f>
        <v>735.0000000000002</v>
      </c>
      <c r="N66" s="46">
        <f>SUM(N67:N71)</f>
        <v>847.5000000000002</v>
      </c>
      <c r="O66" s="46">
        <f>SUM(O67:O71)</f>
        <v>847.5000000000002</v>
      </c>
      <c r="P66" s="46">
        <f>SUM(P67:P71)</f>
        <v>1522.5</v>
      </c>
      <c r="Q66" s="46">
        <f>SUM(Q67:Q71)</f>
        <v>1522.5</v>
      </c>
      <c r="R66" s="46">
        <f>SUM(R67:R71)</f>
        <v>735.0000000000002</v>
      </c>
      <c r="S66" s="46">
        <f>SUM(S67:S71)</f>
        <v>735.0000000000002</v>
      </c>
      <c r="T66" s="46">
        <f>SUM(T67:T71)</f>
        <v>847.5000000000002</v>
      </c>
      <c r="U66" s="46">
        <f>SUM(U67:U71)</f>
        <v>847.5000000000002</v>
      </c>
      <c r="V66" s="46">
        <f>SUM(V67:V71)</f>
        <v>1522.5</v>
      </c>
      <c r="W66" s="46">
        <f>SUM(W67:W71)</f>
        <v>1522.5</v>
      </c>
      <c r="X66" s="46">
        <f>SUM(X67:X71)</f>
        <v>735.0000000000002</v>
      </c>
      <c r="Y66" s="46">
        <f>SUM(Y67:Y71)</f>
        <v>735.0000000000002</v>
      </c>
      <c r="Z66" s="46">
        <f>SUMIF($B$13:$Y$13,"Yes",B66:Y66)</f>
        <v>19477.5</v>
      </c>
      <c r="AA66" s="46">
        <f>SUM(B66:M66)</f>
        <v>12420</v>
      </c>
      <c r="AB66" s="46">
        <f>SUM(B66:Y66)</f>
        <v>24840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675.0000000000002</v>
      </c>
      <c r="E67" s="36">
        <f>Q67</f>
        <v>675.0000000000002</v>
      </c>
      <c r="F67" s="36">
        <f>R67</f>
        <v>675.0000000000002</v>
      </c>
      <c r="G67" s="36">
        <f>S67</f>
        <v>675.0000000000002</v>
      </c>
      <c r="H67" s="36">
        <f>T67</f>
        <v>0</v>
      </c>
      <c r="I67" s="36">
        <f>U67</f>
        <v>0</v>
      </c>
      <c r="J67" s="36">
        <f>V67</f>
        <v>675.0000000000002</v>
      </c>
      <c r="K67" s="36">
        <f>W67</f>
        <v>675.0000000000002</v>
      </c>
      <c r="L67" s="36">
        <f>X67</f>
        <v>675.0000000000002</v>
      </c>
      <c r="M67" s="36">
        <f>Y67</f>
        <v>675.0000000000002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675.0000000000002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675.0000000000002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675.0000000000002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675.0000000000002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675.0000000000002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675.0000000000002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675.0000000000002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675.0000000000002</v>
      </c>
      <c r="Z67" s="46">
        <f>SUMIF($B$13:$Y$13,"Yes",B67:Y67)</f>
        <v>8100.000000000001</v>
      </c>
      <c r="AA67" s="46">
        <f>SUM(B67:M67)</f>
        <v>5400.000000000001</v>
      </c>
      <c r="AB67" s="46">
        <f>SUM(B67:Y67)</f>
        <v>10800</v>
      </c>
    </row>
    <row r="68" spans="1:30" hidden="true" outlineLevel="1">
      <c r="A68" s="181" t="str">
        <f>Calculations!$A$5</f>
        <v>Tomatoes</v>
      </c>
      <c r="B68" s="36">
        <f>N68</f>
        <v>787.5000000000002</v>
      </c>
      <c r="C68" s="36">
        <f>O68</f>
        <v>787.5000000000002</v>
      </c>
      <c r="D68" s="36">
        <f>P68</f>
        <v>787.5000000000002</v>
      </c>
      <c r="E68" s="36">
        <f>Q68</f>
        <v>787.5000000000002</v>
      </c>
      <c r="F68" s="36">
        <f>R68</f>
        <v>0</v>
      </c>
      <c r="G68" s="36">
        <f>S68</f>
        <v>0</v>
      </c>
      <c r="H68" s="36">
        <f>T68</f>
        <v>787.5000000000002</v>
      </c>
      <c r="I68" s="36">
        <f>U68</f>
        <v>787.5000000000002</v>
      </c>
      <c r="J68" s="36">
        <f>V68</f>
        <v>787.5000000000002</v>
      </c>
      <c r="K68" s="36">
        <f>W68</f>
        <v>787.5000000000002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787.5000000000002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787.5000000000002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787.5000000000002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787.5000000000002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787.5000000000002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787.5000000000002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787.5000000000002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787.5000000000002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10237.5</v>
      </c>
      <c r="AA68" s="46">
        <f>SUM(B68:M68)</f>
        <v>6300.000000000001</v>
      </c>
      <c r="AB68" s="46">
        <f>SUM(B68:Y68)</f>
        <v>12600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Mangoes</v>
      </c>
      <c r="B70" s="36">
        <f>N70</f>
        <v>60.00000000000001</v>
      </c>
      <c r="C70" s="36">
        <f>O70</f>
        <v>60.00000000000001</v>
      </c>
      <c r="D70" s="36">
        <f>P70</f>
        <v>60.00000000000001</v>
      </c>
      <c r="E70" s="36">
        <f>Q70</f>
        <v>60.00000000000001</v>
      </c>
      <c r="F70" s="36">
        <f>R70</f>
        <v>60.00000000000001</v>
      </c>
      <c r="G70" s="36">
        <f>S70</f>
        <v>60.00000000000001</v>
      </c>
      <c r="H70" s="36">
        <f>T70</f>
        <v>60.00000000000001</v>
      </c>
      <c r="I70" s="36">
        <f>U70</f>
        <v>60.00000000000001</v>
      </c>
      <c r="J70" s="36">
        <f>V70</f>
        <v>60.00000000000001</v>
      </c>
      <c r="K70" s="36">
        <f>W70</f>
        <v>60.00000000000001</v>
      </c>
      <c r="L70" s="36">
        <f>X70</f>
        <v>60.00000000000001</v>
      </c>
      <c r="M70" s="36">
        <f>Y70</f>
        <v>60.00000000000001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60.00000000000001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60.00000000000001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60.00000000000001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60.00000000000001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60.00000000000001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60.00000000000001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60.00000000000001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60.00000000000001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60.00000000000001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60.00000000000001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60.00000000000001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60.00000000000001</v>
      </c>
      <c r="Z70" s="46">
        <f>SUMIF($B$13:$Y$13,"Yes",B70:Y70)</f>
        <v>1140</v>
      </c>
      <c r="AA70" s="46">
        <f>SUM(B70:M70)</f>
        <v>720.0000000000001</v>
      </c>
      <c r="AB70" s="46">
        <f>SUM(B70:Y70)</f>
        <v>1440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72239.58333333334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916.6666666666666</v>
      </c>
      <c r="C75" s="46">
        <f>SUM(Calculations!$R$14:$R$16)/12</f>
        <v>916.6666666666666</v>
      </c>
      <c r="D75" s="46">
        <f>SUM(Calculations!$R$14:$R$16)/12</f>
        <v>916.6666666666666</v>
      </c>
      <c r="E75" s="46">
        <f>SUM(Calculations!$R$14:$R$16)/12</f>
        <v>916.6666666666666</v>
      </c>
      <c r="F75" s="46">
        <f>SUM(Calculations!$R$14:$R$16)/12</f>
        <v>916.6666666666666</v>
      </c>
      <c r="G75" s="46">
        <f>SUM(Calculations!$R$14:$R$16)/12</f>
        <v>916.6666666666666</v>
      </c>
      <c r="H75" s="46">
        <f>SUM(Calculations!$R$14:$R$16)/12</f>
        <v>916.6666666666666</v>
      </c>
      <c r="I75" s="46">
        <f>SUM(Calculations!$R$14:$R$16)/12</f>
        <v>916.6666666666666</v>
      </c>
      <c r="J75" s="46">
        <f>SUM(Calculations!$R$14:$R$16)/12</f>
        <v>916.6666666666666</v>
      </c>
      <c r="K75" s="46">
        <f>SUM(Calculations!$R$14:$R$16)/12</f>
        <v>916.6666666666666</v>
      </c>
      <c r="L75" s="46">
        <f>SUM(Calculations!$R$14:$R$16)/12</f>
        <v>916.6666666666666</v>
      </c>
      <c r="M75" s="46">
        <f>SUM(Calculations!$R$14:$R$16)/12</f>
        <v>916.6666666666666</v>
      </c>
      <c r="N75" s="46">
        <f>SUM(Calculations!$R$14:$R$16)/12</f>
        <v>916.6666666666666</v>
      </c>
      <c r="O75" s="46">
        <f>SUM(Calculations!$R$14:$R$16)/12</f>
        <v>916.6666666666666</v>
      </c>
      <c r="P75" s="46">
        <f>SUM(Calculations!$R$14:$R$16)/12</f>
        <v>916.6666666666666</v>
      </c>
      <c r="Q75" s="46">
        <f>SUM(Calculations!$R$14:$R$16)/12</f>
        <v>916.6666666666666</v>
      </c>
      <c r="R75" s="46">
        <f>SUM(Calculations!$R$14:$R$16)/12</f>
        <v>916.6666666666666</v>
      </c>
      <c r="S75" s="46">
        <f>SUM(Calculations!$R$14:$R$16)/12</f>
        <v>916.6666666666666</v>
      </c>
      <c r="T75" s="46">
        <f>SUM(Calculations!$R$14:$R$16)/12</f>
        <v>916.6666666666666</v>
      </c>
      <c r="U75" s="46">
        <f>SUM(Calculations!$R$14:$R$16)/12</f>
        <v>916.6666666666666</v>
      </c>
      <c r="V75" s="46">
        <f>SUM(Calculations!$R$14:$R$16)/12</f>
        <v>916.6666666666666</v>
      </c>
      <c r="W75" s="46">
        <f>SUM(Calculations!$R$14:$R$16)/12</f>
        <v>916.6666666666666</v>
      </c>
      <c r="X75" s="46">
        <f>SUM(Calculations!$R$14:$R$16)/12</f>
        <v>916.6666666666666</v>
      </c>
      <c r="Y75" s="46">
        <f>SUM(Calculations!$R$14:$R$16)/12</f>
        <v>916.6666666666666</v>
      </c>
      <c r="Z75" s="46">
        <f>SUMIF($B$13:$Y$13,"Yes",B75:Y75)</f>
        <v>17416.66666666666</v>
      </c>
      <c r="AA75" s="46">
        <f>SUM(B75:M75)</f>
        <v>11000</v>
      </c>
      <c r="AB75" s="46">
        <f>SUM(B75:Y75)</f>
        <v>22000</v>
      </c>
    </row>
    <row r="76" spans="1:30">
      <c r="A76" s="16" t="s">
        <v>48</v>
      </c>
      <c r="B76" s="46">
        <f>SUM(Calculations!$S$14:$S$16)/12</f>
        <v>3250</v>
      </c>
      <c r="C76" s="46">
        <f>SUM(Calculations!$S$14:$S$16)/12</f>
        <v>3250</v>
      </c>
      <c r="D76" s="46">
        <f>SUM(Calculations!$S$14:$S$16)/12</f>
        <v>3250</v>
      </c>
      <c r="E76" s="46">
        <f>SUM(Calculations!$S$14:$S$16)/12</f>
        <v>3250</v>
      </c>
      <c r="F76" s="46">
        <f>SUM(Calculations!$S$14:$S$16)/12</f>
        <v>3250</v>
      </c>
      <c r="G76" s="46">
        <f>SUM(Calculations!$S$14:$S$16)/12</f>
        <v>3250</v>
      </c>
      <c r="H76" s="46">
        <f>SUM(Calculations!$S$14:$S$16)/12</f>
        <v>3250</v>
      </c>
      <c r="I76" s="46">
        <f>SUM(Calculations!$S$14:$S$16)/12</f>
        <v>3250</v>
      </c>
      <c r="J76" s="46">
        <f>SUM(Calculations!$S$14:$S$16)/12</f>
        <v>3250</v>
      </c>
      <c r="K76" s="46">
        <f>SUM(Calculations!$S$14:$S$16)/12</f>
        <v>3250</v>
      </c>
      <c r="L76" s="46">
        <f>SUM(Calculations!$S$14:$S$16)/12</f>
        <v>3250</v>
      </c>
      <c r="M76" s="46">
        <f>SUM(Calculations!$S$14:$S$16)/12</f>
        <v>3250</v>
      </c>
      <c r="N76" s="46">
        <f>SUM(Calculations!$S$14:$S$16)/12</f>
        <v>3250</v>
      </c>
      <c r="O76" s="46">
        <f>SUM(Calculations!$S$14:$S$16)/12</f>
        <v>3250</v>
      </c>
      <c r="P76" s="46">
        <f>SUM(Calculations!$S$14:$S$16)/12</f>
        <v>3250</v>
      </c>
      <c r="Q76" s="46">
        <f>SUM(Calculations!$S$14:$S$16)/12</f>
        <v>3250</v>
      </c>
      <c r="R76" s="46">
        <f>SUM(Calculations!$S$14:$S$16)/12</f>
        <v>3250</v>
      </c>
      <c r="S76" s="46">
        <f>SUM(Calculations!$S$14:$S$16)/12</f>
        <v>3250</v>
      </c>
      <c r="T76" s="46">
        <f>SUM(Calculations!$S$14:$S$16)/12</f>
        <v>3250</v>
      </c>
      <c r="U76" s="46">
        <f>SUM(Calculations!$S$14:$S$16)/12</f>
        <v>3250</v>
      </c>
      <c r="V76" s="46">
        <f>SUM(Calculations!$S$14:$S$16)/12</f>
        <v>3250</v>
      </c>
      <c r="W76" s="46">
        <f>SUM(Calculations!$S$14:$S$16)/12</f>
        <v>3250</v>
      </c>
      <c r="X76" s="46">
        <f>SUM(Calculations!$S$14:$S$16)/12</f>
        <v>3250</v>
      </c>
      <c r="Y76" s="46">
        <f>SUM(Calculations!$S$14:$S$16)/12</f>
        <v>3250</v>
      </c>
      <c r="Z76" s="46">
        <f>SUMIF($B$13:$Y$13,"Yes",B76:Y76)</f>
        <v>61750</v>
      </c>
      <c r="AA76" s="46">
        <f>SUM(B76:M76)</f>
        <v>39000</v>
      </c>
      <c r="AB76" s="46">
        <f>SUM(B76:Y76)</f>
        <v>78000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53862.47427095821</v>
      </c>
      <c r="C81" s="46">
        <f>(SUM($AA$18:$AA$29)-SUM($AA$36,$AA$42,$AA$48,$AA$54,$AA$60,$AA$66,$AA$72:$AA$79))*Parameters!$B$37/12</f>
        <v>53862.47427095821</v>
      </c>
      <c r="D81" s="46">
        <f>(SUM($AA$18:$AA$29)-SUM($AA$36,$AA$42,$AA$48,$AA$54,$AA$60,$AA$66,$AA$72:$AA$79))*Parameters!$B$37/12</f>
        <v>53862.47427095821</v>
      </c>
      <c r="E81" s="46">
        <f>(SUM($AA$18:$AA$29)-SUM($AA$36,$AA$42,$AA$48,$AA$54,$AA$60,$AA$66,$AA$72:$AA$79))*Parameters!$B$37/12</f>
        <v>53862.47427095821</v>
      </c>
      <c r="F81" s="46">
        <f>(SUM($AA$18:$AA$29)-SUM($AA$36,$AA$42,$AA$48,$AA$54,$AA$60,$AA$66,$AA$72:$AA$79))*Parameters!$B$37/12</f>
        <v>53862.47427095821</v>
      </c>
      <c r="G81" s="46">
        <f>(SUM($AA$18:$AA$29)-SUM($AA$36,$AA$42,$AA$48,$AA$54,$AA$60,$AA$66,$AA$72:$AA$79))*Parameters!$B$37/12</f>
        <v>53862.47427095821</v>
      </c>
      <c r="H81" s="46">
        <f>(SUM($AA$18:$AA$29)-SUM($AA$36,$AA$42,$AA$48,$AA$54,$AA$60,$AA$66,$AA$72:$AA$79))*Parameters!$B$37/12</f>
        <v>53862.47427095821</v>
      </c>
      <c r="I81" s="46">
        <f>(SUM($AA$18:$AA$29)-SUM($AA$36,$AA$42,$AA$48,$AA$54,$AA$60,$AA$66,$AA$72:$AA$79))*Parameters!$B$37/12</f>
        <v>53862.47427095821</v>
      </c>
      <c r="J81" s="46">
        <f>(SUM($AA$18:$AA$29)-SUM($AA$36,$AA$42,$AA$48,$AA$54,$AA$60,$AA$66,$AA$72:$AA$79))*Parameters!$B$37/12</f>
        <v>53862.47427095821</v>
      </c>
      <c r="K81" s="46">
        <f>(SUM($AA$18:$AA$29)-SUM($AA$36,$AA$42,$AA$48,$AA$54,$AA$60,$AA$66,$AA$72:$AA$79))*Parameters!$B$37/12</f>
        <v>53862.47427095821</v>
      </c>
      <c r="L81" s="46">
        <f>(SUM($AA$18:$AA$29)-SUM($AA$36,$AA$42,$AA$48,$AA$54,$AA$60,$AA$66,$AA$72:$AA$79))*Parameters!$B$37/12</f>
        <v>53862.47427095821</v>
      </c>
      <c r="M81" s="46">
        <f>(SUM($AA$18:$AA$29)-SUM($AA$36,$AA$42,$AA$48,$AA$54,$AA$60,$AA$66,$AA$72:$AA$79))*Parameters!$B$37/12</f>
        <v>53862.47427095821</v>
      </c>
      <c r="N81" s="46">
        <f>(SUM($AA$18:$AA$29)-SUM($AA$36,$AA$42,$AA$48,$AA$54,$AA$60,$AA$66,$AA$72:$AA$79))*Parameters!$B$37/12</f>
        <v>53862.47427095821</v>
      </c>
      <c r="O81" s="46">
        <f>(SUM($AA$18:$AA$29)-SUM($AA$36,$AA$42,$AA$48,$AA$54,$AA$60,$AA$66,$AA$72:$AA$79))*Parameters!$B$37/12</f>
        <v>53862.47427095821</v>
      </c>
      <c r="P81" s="46">
        <f>(SUM($AA$18:$AA$29)-SUM($AA$36,$AA$42,$AA$48,$AA$54,$AA$60,$AA$66,$AA$72:$AA$79))*Parameters!$B$37/12</f>
        <v>53862.47427095821</v>
      </c>
      <c r="Q81" s="46">
        <f>(SUM($AA$18:$AA$29)-SUM($AA$36,$AA$42,$AA$48,$AA$54,$AA$60,$AA$66,$AA$72:$AA$79))*Parameters!$B$37/12</f>
        <v>53862.47427095821</v>
      </c>
      <c r="R81" s="46">
        <f>(SUM($AA$18:$AA$29)-SUM($AA$36,$AA$42,$AA$48,$AA$54,$AA$60,$AA$66,$AA$72:$AA$79))*Parameters!$B$37/12</f>
        <v>53862.47427095821</v>
      </c>
      <c r="S81" s="46">
        <f>(SUM($AA$18:$AA$29)-SUM($AA$36,$AA$42,$AA$48,$AA$54,$AA$60,$AA$66,$AA$72:$AA$79))*Parameters!$B$37/12</f>
        <v>53862.47427095821</v>
      </c>
      <c r="T81" s="46">
        <f>(SUM($AA$18:$AA$29)-SUM($AA$36,$AA$42,$AA$48,$AA$54,$AA$60,$AA$66,$AA$72:$AA$79))*Parameters!$B$37/12</f>
        <v>53862.47427095821</v>
      </c>
      <c r="U81" s="46">
        <f>(SUM($AA$18:$AA$29)-SUM($AA$36,$AA$42,$AA$48,$AA$54,$AA$60,$AA$66,$AA$72:$AA$79))*Parameters!$B$37/12</f>
        <v>53862.47427095821</v>
      </c>
      <c r="V81" s="46">
        <f>(SUM($AA$18:$AA$29)-SUM($AA$36,$AA$42,$AA$48,$AA$54,$AA$60,$AA$66,$AA$72:$AA$79))*Parameters!$B$37/12</f>
        <v>53862.47427095821</v>
      </c>
      <c r="W81" s="46">
        <f>(SUM($AA$18:$AA$29)-SUM($AA$36,$AA$42,$AA$48,$AA$54,$AA$60,$AA$66,$AA$72:$AA$79))*Parameters!$B$37/12</f>
        <v>53862.47427095821</v>
      </c>
      <c r="X81" s="46">
        <f>(SUM($AA$18:$AA$29)-SUM($AA$36,$AA$42,$AA$48,$AA$54,$AA$60,$AA$66,$AA$72:$AA$79))*Parameters!$B$37/12</f>
        <v>53862.47427095821</v>
      </c>
      <c r="Y81" s="46">
        <f>(SUM($AA$18:$AA$29)-SUM($AA$36,$AA$42,$AA$48,$AA$54,$AA$60,$AA$66,$AA$72:$AA$79))*Parameters!$B$37/12</f>
        <v>53862.47427095821</v>
      </c>
      <c r="Z81" s="46">
        <f>SUMIF($B$13:$Y$13,"Yes",B81:Y81)</f>
        <v>1023387.011148206</v>
      </c>
      <c r="AA81" s="46">
        <f>SUM(B81:M81)</f>
        <v>646349.6912514985</v>
      </c>
      <c r="AB81" s="46">
        <f>SUM(B81:Y81)</f>
        <v>1292699.382502997</v>
      </c>
    </row>
    <row r="82" spans="1:30">
      <c r="A82" s="16" t="s">
        <v>52</v>
      </c>
      <c r="B82" s="46">
        <f>SUM(B83:B87)</f>
        <v>23383.2890070922</v>
      </c>
      <c r="C82" s="46">
        <f>SUM(C83:C87)</f>
        <v>15302.04432624114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38685.33333333334</v>
      </c>
      <c r="AA82" s="46">
        <f>SUM(B82:M82)</f>
        <v>38685.33333333334</v>
      </c>
      <c r="AB82" s="46">
        <f>SUM(B82:Y82)</f>
        <v>38685.33333333334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9028.625886524822</v>
      </c>
      <c r="C83" s="46">
        <f>IF(Calculations!$E23&gt;COUNT(Output!$B$35:C$35),Calculations!$B23,IF(Calculations!$E23=COUNT(Output!$B$35:C$35),Inputs!$B56-Calculations!$C23*(Calculations!$E23-1)+Calculations!$D23,0))</f>
        <v>4457.040780141844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13485.66666666667</v>
      </c>
      <c r="AA83" s="46">
        <f>SUM(B83:M83)</f>
        <v>13485.66666666667</v>
      </c>
      <c r="AB83" s="46">
        <f>SUM(B83:Y83)</f>
        <v>13485.66666666667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14354.66312056738</v>
      </c>
      <c r="C84" s="46">
        <f>IF(Calculations!$E24&gt;COUNT(Output!$B$35:C$35),Calculations!$B24,IF(Calculations!$E24=COUNT(Output!$B$35:C$35),Inputs!$B57-Calculations!$C24*(Calculations!$E24-1)+Calculations!$D24,0))</f>
        <v>10845.00354609929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25199.66666666667</v>
      </c>
      <c r="AA84" s="46">
        <f>SUM(B84:M84)</f>
        <v>25199.66666666667</v>
      </c>
      <c r="AB84" s="46">
        <f>SUM(B84:Y84)</f>
        <v>25199.66666666667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90478.67994471708</v>
      </c>
      <c r="C88" s="19">
        <f>SUM(C72:C82,C66,C60,C54,C48,C42,C36)</f>
        <v>81647.43526386602</v>
      </c>
      <c r="D88" s="19">
        <f>SUM(D72:D82,D66,D60,D54,D48,D42,D36)</f>
        <v>78732.39093762489</v>
      </c>
      <c r="E88" s="19">
        <f>SUM(E72:E82,E66,E60,E54,E48,E42,E36)</f>
        <v>69020.39093762489</v>
      </c>
      <c r="F88" s="19">
        <f>SUM(F72:F82,F66,F60,F54,F48,F42,F36)</f>
        <v>72332.89093762489</v>
      </c>
      <c r="G88" s="19">
        <f>SUM(G72:G82,G66,G60,G54,G48,G42,G36)</f>
        <v>66732.89093762489</v>
      </c>
      <c r="H88" s="19">
        <f>SUM(H72:H82,H66,H60,H54,H48,H42,H36)</f>
        <v>67095.39093762488</v>
      </c>
      <c r="I88" s="19">
        <f>SUM(I72:I82,I66,I60,I54,I48,I42,I36)</f>
        <v>64345.39093762488</v>
      </c>
      <c r="J88" s="19">
        <f>SUM(J72:J82,J66,J60,J54,J48,J42,J36)</f>
        <v>78732.39093762489</v>
      </c>
      <c r="K88" s="19">
        <f>SUM(K72:K82,K66,K60,K54,K48,K42,K36)</f>
        <v>69020.39093762489</v>
      </c>
      <c r="L88" s="19">
        <f>SUM(L72:L82,L66,L60,L54,L48,L42,L36)</f>
        <v>72332.89093762489</v>
      </c>
      <c r="M88" s="19">
        <f>SUM(M72:M82,M66,M60,M54,M48,M42,M36)</f>
        <v>66732.89093762489</v>
      </c>
      <c r="N88" s="19">
        <f>SUM(N72:N82,N66,N60,N54,N48,N42,N36)</f>
        <v>67095.39093762488</v>
      </c>
      <c r="O88" s="19">
        <f>SUM(O72:O82,O66,O60,O54,O48,O42,O36)</f>
        <v>66345.39093762488</v>
      </c>
      <c r="P88" s="19">
        <f>SUM(P72:P82,P66,P60,P54,P48,P42,P36)</f>
        <v>78732.39093762489</v>
      </c>
      <c r="Q88" s="19">
        <f>SUM(Q72:Q82,Q66,Q60,Q54,Q48,Q42,Q36)</f>
        <v>69020.39093762489</v>
      </c>
      <c r="R88" s="19">
        <f>SUM(R72:R82,R66,R60,R54,R48,R42,R36)</f>
        <v>72332.89093762489</v>
      </c>
      <c r="S88" s="19">
        <f>SUM(S72:S82,S66,S60,S54,S48,S42,S36)</f>
        <v>66732.89093762489</v>
      </c>
      <c r="T88" s="19">
        <f>SUM(T72:T82,T66,T60,T54,T48,T42,T36)</f>
        <v>67095.39093762488</v>
      </c>
      <c r="U88" s="19">
        <f>SUM(U72:U82,U66,U60,U54,U48,U42,U36)</f>
        <v>64345.39093762488</v>
      </c>
      <c r="V88" s="19">
        <f>SUM(V72:V82,V66,V60,V54,V48,V42,V36)</f>
        <v>78732.39093762489</v>
      </c>
      <c r="W88" s="19">
        <f>SUM(W72:W82,W66,W60,W54,W48,W42,W36)</f>
        <v>69020.39093762489</v>
      </c>
      <c r="X88" s="19">
        <f>SUM(X72:X82,X66,X60,X54,X48,X42,X36)</f>
        <v>72332.89093762489</v>
      </c>
      <c r="Y88" s="19">
        <f>SUM(Y72:Y82,Y66,Y60,Y54,Y48,Y42,Y36)</f>
        <v>66732.89093762489</v>
      </c>
      <c r="Z88" s="19">
        <f>SUMIF($B$13:$Y$13,"Yes",B88:Y88)</f>
        <v>1364558.761148206</v>
      </c>
      <c r="AA88" s="19">
        <f>SUM(B88:M88)</f>
        <v>877204.0245848318</v>
      </c>
      <c r="AB88" s="19">
        <f>SUM(B88:Y88)</f>
        <v>1715722.715836331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10500</v>
      </c>
    </row>
    <row r="95" spans="1:30">
      <c r="A95" t="s">
        <v>61</v>
      </c>
      <c r="B95" s="36">
        <f>Inputs!B47</f>
        <v>60000</v>
      </c>
    </row>
    <row r="96" spans="1:30">
      <c r="A96" t="s">
        <v>62</v>
      </c>
      <c r="B96" s="36">
        <f>SUMPRODUCT(Inputs!C19:C21,Calculations!O14:O16)</f>
        <v>1180000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1000000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5150500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16000</v>
      </c>
    </row>
    <row r="105" spans="1:30">
      <c r="A105" t="s">
        <v>70</v>
      </c>
      <c r="B105" s="36">
        <f>SUM(Inputs!B56:B60)</f>
        <v>31352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147352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98</v>
      </c>
      <c r="J9" s="148" t="s">
        <v>99</v>
      </c>
      <c r="K9" s="138"/>
      <c r="L9" s="16"/>
      <c r="M9" s="165">
        <v>5</v>
      </c>
      <c r="N9" s="154">
        <v>0</v>
      </c>
    </row>
    <row r="10" spans="1:48">
      <c r="A10" s="143" t="s">
        <v>100</v>
      </c>
      <c r="B10" s="16"/>
      <c r="C10" s="143">
        <v>1</v>
      </c>
      <c r="D10" s="16"/>
      <c r="E10" s="147" t="s">
        <v>101</v>
      </c>
      <c r="F10" s="149" t="s">
        <v>102</v>
      </c>
      <c r="G10" s="147"/>
      <c r="H10" s="147" t="s">
        <v>92</v>
      </c>
      <c r="I10" s="147" t="s">
        <v>103</v>
      </c>
      <c r="J10" s="148" t="s">
        <v>104</v>
      </c>
      <c r="K10" s="138"/>
      <c r="L10" s="16"/>
      <c r="M10" s="165">
        <v>5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106</v>
      </c>
      <c r="B18" s="10" t="s">
        <v>107</v>
      </c>
      <c r="C18" s="10" t="s">
        <v>108</v>
      </c>
      <c r="D18" s="10" t="s">
        <v>109</v>
      </c>
      <c r="E18" s="10" t="s">
        <v>110</v>
      </c>
      <c r="F18" s="10" t="s">
        <v>111</v>
      </c>
      <c r="G18" s="10" t="s">
        <v>112</v>
      </c>
      <c r="H18" s="10" t="s">
        <v>113</v>
      </c>
      <c r="I18" s="10" t="s">
        <v>114</v>
      </c>
      <c r="J18" s="10" t="s">
        <v>115</v>
      </c>
      <c r="K18" s="10" t="s">
        <v>116</v>
      </c>
      <c r="L18" s="10" t="s">
        <v>117</v>
      </c>
    </row>
    <row r="19" spans="1:48">
      <c r="A19" s="142" t="s">
        <v>118</v>
      </c>
      <c r="B19" s="20"/>
      <c r="C19" s="142">
        <v>5</v>
      </c>
      <c r="D19" s="145">
        <v>4</v>
      </c>
      <c r="E19" s="20"/>
      <c r="F19" s="145" t="s">
        <v>92</v>
      </c>
      <c r="G19" s="20"/>
      <c r="H19" s="20"/>
      <c r="I19" s="145" t="s">
        <v>119</v>
      </c>
      <c r="J19" s="145">
        <v>5</v>
      </c>
      <c r="K19" s="145"/>
      <c r="L19" s="25"/>
    </row>
    <row r="20" spans="1:48">
      <c r="A20" s="143" t="s">
        <v>120</v>
      </c>
      <c r="B20" s="16"/>
      <c r="C20" s="143">
        <v>30</v>
      </c>
      <c r="D20" s="147"/>
      <c r="E20" s="16"/>
      <c r="F20" s="147" t="s">
        <v>103</v>
      </c>
      <c r="G20" s="16"/>
      <c r="H20" s="16"/>
      <c r="I20" s="147" t="s">
        <v>121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123</v>
      </c>
      <c r="B25" s="177">
        <v>70</v>
      </c>
    </row>
    <row r="27" spans="1:48">
      <c r="A27" s="14" t="s">
        <v>124</v>
      </c>
    </row>
    <row r="29" spans="1:48">
      <c r="A29" s="45" t="s">
        <v>125</v>
      </c>
      <c r="B29" s="156" t="s">
        <v>126</v>
      </c>
    </row>
    <row r="30" spans="1:48">
      <c r="A30" s="44" t="s">
        <v>127</v>
      </c>
      <c r="B30" s="157">
        <v>15000</v>
      </c>
    </row>
    <row r="31" spans="1:48">
      <c r="A31" s="5" t="s">
        <v>128</v>
      </c>
      <c r="B31" s="158">
        <v>0</v>
      </c>
    </row>
    <row r="33" spans="1:48">
      <c r="A33" s="14" t="s">
        <v>129</v>
      </c>
    </row>
    <row r="34" spans="1:48">
      <c r="A34" s="10" t="s">
        <v>130</v>
      </c>
      <c r="B34" s="10" t="s">
        <v>131</v>
      </c>
      <c r="C34" s="10" t="s">
        <v>132</v>
      </c>
      <c r="D34" s="48" t="s">
        <v>133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135</v>
      </c>
      <c r="B40" s="160" t="s">
        <v>92</v>
      </c>
    </row>
    <row r="41" spans="1:48">
      <c r="A41" s="55" t="s">
        <v>136</v>
      </c>
      <c r="B41" s="140"/>
    </row>
    <row r="42" spans="1:48">
      <c r="A42" s="55" t="s">
        <v>137</v>
      </c>
      <c r="B42" s="139"/>
    </row>
    <row r="43" spans="1:48">
      <c r="A43" s="55" t="s">
        <v>138</v>
      </c>
      <c r="B43" s="160" t="s">
        <v>139</v>
      </c>
    </row>
    <row r="44" spans="1:48">
      <c r="A44" s="56" t="s">
        <v>140</v>
      </c>
      <c r="B44" s="160" t="s">
        <v>92</v>
      </c>
    </row>
    <row r="45" spans="1:48">
      <c r="A45" s="56" t="s">
        <v>141</v>
      </c>
      <c r="B45" s="161">
        <v>600000</v>
      </c>
    </row>
    <row r="46" spans="1:48" customHeight="1" ht="30">
      <c r="A46" s="57" t="s">
        <v>142</v>
      </c>
      <c r="B46" s="161">
        <v>300000</v>
      </c>
    </row>
    <row r="47" spans="1:48" customHeight="1" ht="30">
      <c r="A47" s="57" t="s">
        <v>143</v>
      </c>
      <c r="B47" s="161">
        <v>60000</v>
      </c>
    </row>
    <row r="48" spans="1:48" customHeight="1" ht="30">
      <c r="A48" s="57" t="s">
        <v>144</v>
      </c>
      <c r="B48" s="161">
        <v>2000000</v>
      </c>
    </row>
    <row r="49" spans="1:48" customHeight="1" ht="30">
      <c r="A49" s="57" t="s">
        <v>145</v>
      </c>
      <c r="B49" s="161">
        <v>10500</v>
      </c>
    </row>
    <row r="50" spans="1:48">
      <c r="A50" s="43"/>
      <c r="B50" s="36"/>
    </row>
    <row r="51" spans="1:48">
      <c r="A51" s="58" t="s">
        <v>146</v>
      </c>
      <c r="B51" s="161">
        <v>16000</v>
      </c>
    </row>
    <row r="52" spans="1:48">
      <c r="A52" s="43"/>
    </row>
    <row r="53" spans="1:48">
      <c r="A53" s="3" t="s">
        <v>147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148</v>
      </c>
      <c r="B55" s="10" t="s">
        <v>149</v>
      </c>
      <c r="C55" s="10" t="s">
        <v>150</v>
      </c>
      <c r="D55" s="10" t="s">
        <v>151</v>
      </c>
      <c r="E55" s="10" t="s">
        <v>152</v>
      </c>
      <c r="F55" s="10" t="s">
        <v>153</v>
      </c>
    </row>
    <row r="56" spans="1:48">
      <c r="A56" s="159">
        <v>100000</v>
      </c>
      <c r="B56" s="159">
        <v>9819</v>
      </c>
      <c r="C56" s="162" t="s">
        <v>154</v>
      </c>
      <c r="D56" s="163" t="s">
        <v>155</v>
      </c>
      <c r="E56" s="163" t="s">
        <v>103</v>
      </c>
      <c r="F56" s="163" t="s">
        <v>156</v>
      </c>
    </row>
    <row r="57" spans="1:48">
      <c r="A57" s="157">
        <v>100000</v>
      </c>
      <c r="B57" s="157">
        <v>21533</v>
      </c>
      <c r="C57" s="164" t="s">
        <v>157</v>
      </c>
      <c r="D57" s="165" t="s">
        <v>158</v>
      </c>
      <c r="E57" s="165" t="s">
        <v>92</v>
      </c>
      <c r="F57" s="165" t="s">
        <v>159</v>
      </c>
    </row>
    <row r="58" spans="1:48">
      <c r="A58" s="157">
        <v>100000</v>
      </c>
      <c r="B58" s="157">
        <v>0</v>
      </c>
      <c r="C58" s="164" t="s">
        <v>160</v>
      </c>
      <c r="D58" s="165" t="s">
        <v>158</v>
      </c>
      <c r="E58" s="165" t="s">
        <v>92</v>
      </c>
      <c r="F58" s="165" t="s">
        <v>159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133</v>
      </c>
      <c r="B65" s="10" t="s">
        <v>162</v>
      </c>
      <c r="C65" s="10" t="s">
        <v>163</v>
      </c>
    </row>
    <row r="66" spans="1:48">
      <c r="A66" s="142" t="s">
        <v>164</v>
      </c>
      <c r="B66" s="159">
        <v>92648</v>
      </c>
      <c r="C66" s="163">
        <v>88654</v>
      </c>
      <c r="D66" s="49">
        <f>INDEX(Parameters!$D$79:$D$90,MATCH(Inputs!A66,Parameters!$C$79:$C$90,0))</f>
        <v>8</v>
      </c>
    </row>
    <row r="67" spans="1:48">
      <c r="A67" s="143" t="s">
        <v>165</v>
      </c>
      <c r="B67" s="157">
        <v>90653</v>
      </c>
      <c r="C67" s="165">
        <v>89431</v>
      </c>
      <c r="D67" s="49">
        <f>INDEX(Parameters!$D$79:$D$90,MATCH(Inputs!A67,Parameters!$C$79:$C$90,0))</f>
        <v>9</v>
      </c>
    </row>
    <row r="68" spans="1:48">
      <c r="A68" s="143" t="s">
        <v>166</v>
      </c>
      <c r="B68" s="157">
        <v>107286</v>
      </c>
      <c r="C68" s="165">
        <v>94683</v>
      </c>
      <c r="D68" s="49">
        <f>INDEX(Parameters!$D$79:$D$90,MATCH(Inputs!A68,Parameters!$C$79:$C$90,0))</f>
        <v>10</v>
      </c>
    </row>
    <row r="69" spans="1:48">
      <c r="A69" s="143" t="s">
        <v>167</v>
      </c>
      <c r="B69" s="157">
        <v>89065</v>
      </c>
      <c r="C69" s="165">
        <v>98626</v>
      </c>
      <c r="D69" s="49">
        <f>INDEX(Parameters!$D$79:$D$90,MATCH(Inputs!A69,Parameters!$C$79:$C$90,0))</f>
        <v>11</v>
      </c>
    </row>
    <row r="70" spans="1:48">
      <c r="A70" s="143" t="s">
        <v>168</v>
      </c>
      <c r="B70" s="157">
        <v>46832</v>
      </c>
      <c r="C70" s="165">
        <v>45032</v>
      </c>
      <c r="D70" s="49">
        <f>INDEX(Parameters!$D$79:$D$90,MATCH(Inputs!A70,Parameters!$C$79:$C$90,0))</f>
        <v>12</v>
      </c>
    </row>
    <row r="71" spans="1:48">
      <c r="A71" s="144" t="s">
        <v>169</v>
      </c>
      <c r="B71" s="158">
        <v>42762</v>
      </c>
      <c r="C71" s="167">
        <v>41662</v>
      </c>
      <c r="D71" s="49">
        <f>INDEX(Parameters!$D$79:$D$90,MATCH(Inputs!A71,Parameters!$C$79:$C$90,0))</f>
        <v>1</v>
      </c>
    </row>
    <row r="73" spans="1:48">
      <c r="A73" s="3" t="s">
        <v>170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171</v>
      </c>
      <c r="B75" s="161">
        <v>18</v>
      </c>
    </row>
    <row r="76" spans="1:48">
      <c r="A76" t="s">
        <v>172</v>
      </c>
      <c r="B76" s="168" t="s">
        <v>173</v>
      </c>
    </row>
    <row r="78" spans="1:48" customHeight="1" ht="20.25">
      <c r="B78" s="127" t="s">
        <v>174</v>
      </c>
    </row>
    <row r="79" spans="1:48">
      <c r="A79" t="s">
        <v>175</v>
      </c>
      <c r="B79" s="168" t="s">
        <v>176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177</v>
      </c>
      <c r="B80" s="168" t="s">
        <v>178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179</v>
      </c>
      <c r="B81" s="161">
        <v>100000</v>
      </c>
    </row>
    <row r="82" spans="1:48">
      <c r="A82" t="s">
        <v>180</v>
      </c>
      <c r="B82" s="161">
        <v>18</v>
      </c>
    </row>
    <row r="83" spans="1:48">
      <c r="A83" t="s">
        <v>181</v>
      </c>
      <c r="B83" s="169" t="s">
        <v>182</v>
      </c>
    </row>
    <row r="84" spans="1:48">
      <c r="A84" t="s">
        <v>183</v>
      </c>
      <c r="B84" s="169">
        <v>1</v>
      </c>
    </row>
    <row r="85" spans="1:48">
      <c r="A85" t="s">
        <v>184</v>
      </c>
      <c r="B85" s="169">
        <v>18</v>
      </c>
    </row>
    <row r="86" spans="1:48">
      <c r="A86" t="s">
        <v>185</v>
      </c>
      <c r="B86" s="161">
        <v>5</v>
      </c>
    </row>
    <row r="87" spans="1:48">
      <c r="A87" t="s">
        <v>186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187</v>
      </c>
      <c r="C3" s="15" t="s">
        <v>188</v>
      </c>
      <c r="D3" s="15" t="s">
        <v>189</v>
      </c>
      <c r="E3" s="15" t="s">
        <v>190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198</v>
      </c>
      <c r="N3" s="15" t="s">
        <v>199</v>
      </c>
      <c r="O3" s="15" t="s">
        <v>200</v>
      </c>
      <c r="P3" s="15" t="s">
        <v>201</v>
      </c>
      <c r="Q3" s="32" t="s">
        <v>202</v>
      </c>
      <c r="R3" s="15" t="s">
        <v>203</v>
      </c>
      <c r="S3" s="15" t="s">
        <v>204</v>
      </c>
      <c r="T3" s="15" t="s">
        <v>205</v>
      </c>
      <c r="U3" s="178" t="s">
        <v>87</v>
      </c>
      <c r="V3" s="32" t="s">
        <v>206</v>
      </c>
      <c r="W3" s="32" t="s">
        <v>207</v>
      </c>
      <c r="X3" s="32" t="s">
        <v>208</v>
      </c>
      <c r="Y3" s="32" t="s">
        <v>209</v>
      </c>
      <c r="Z3" s="32" t="s">
        <v>43</v>
      </c>
      <c r="AA3" s="32" t="s">
        <v>210</v>
      </c>
      <c r="AB3" s="32" t="s">
        <v>211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42887</v>
      </c>
      <c r="D4" s="38">
        <f>IFERROR(DATE(YEAR(B4),MONTH(B4)+T4,DAY(B4)),"")</f>
        <v>42917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43101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18045.26684812627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480004.0981601588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5600</v>
      </c>
      <c r="Z4" s="33">
        <f>IF(Inputs!I7=Parameters!$F$78,H4*INDEX(Parameters!$A$3:$AI$18,MATCH(Calculations!A4,Parameters!$A$3:$A$18,0),MATCH(Parameters!$Q$3,Parameters!$A$3:$AI$3,0)),0)</f>
        <v>16000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9000.000000000002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42826</v>
      </c>
      <c r="D5" s="39">
        <f>IFERROR(DATE(YEAR(B5),MONTH(B5)+T5,DAY(B5)),"")</f>
        <v>42856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43040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336234.2324206122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42795</v>
      </c>
      <c r="C6" s="39">
        <f>IFERROR(DATE(YEAR(B6),MONTH(B6)+ROUND(T6/2,0),DAY(B6)),B6)</f>
        <v>42795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Mangoes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3500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3835.813921798289</v>
      </c>
      <c r="M7" s="30">
        <f>L7*H7</f>
        <v>3835.813921798289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4.199999999999999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15304.89754797517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N/A</v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4500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2400</v>
      </c>
      <c r="AC7" s="22">
        <f>IF($A7=0,1/12,IFERROR(INDEX(Parameters!$X$2:$AI$17,MATCH(Calculations!$A7,Parameters!$A$2:$A$17,0),MONTH(Calculations!AC$3)),1/12))</f>
        <v>0.2290076335877863</v>
      </c>
      <c r="AD7" s="22">
        <f>IF($A7=0,1/12,IFERROR(INDEX(Parameters!$X$2:$AI$17,MATCH(Calculations!$A7,Parameters!$A$2:$A$17,0),MONTH(Calculations!AD$3)),1/12))</f>
        <v>0.1374045801526718</v>
      </c>
      <c r="AE7" s="22">
        <f>IF($A7=0,1/12,IFERROR(INDEX(Parameters!$X$2:$AI$17,MATCH(Calculations!$A7,Parameters!$A$2:$A$17,0),MONTH(Calculations!AE$3)),1/12))</f>
        <v>0.03816793893129772</v>
      </c>
      <c r="AF7" s="22">
        <f>IF($A7=0,1/12,IFERROR(INDEX(Parameters!$X$2:$AI$17,MATCH(Calculations!$A7,Parameters!$A$2:$A$17,0),MONTH(Calculations!AF$3)),1/12))</f>
        <v>0.007633587786259543</v>
      </c>
      <c r="AG7" s="22">
        <f>IF($A7=0,1/12,IFERROR(INDEX(Parameters!$X$2:$AI$17,MATCH(Calculations!$A7,Parameters!$A$2:$A$17,0),MONTH(Calculations!AG$3)),1/12))</f>
        <v>0.007633587786259543</v>
      </c>
      <c r="AH7" s="22">
        <f>IF($A7=0,1/12,IFERROR(INDEX(Parameters!$X$2:$AI$17,MATCH(Calculations!$A7,Parameters!$A$2:$A$17,0),MONTH(Calculations!AH$3)),1/12))</f>
        <v>0.007633587786259543</v>
      </c>
      <c r="AI7" s="22">
        <f>IF($A7=0,1/12,IFERROR(INDEX(Parameters!$X$2:$AI$17,MATCH(Calculations!$A7,Parameters!$A$2:$A$17,0),MONTH(Calculations!AI$3)),1/12))</f>
        <v>0.007633587786259543</v>
      </c>
      <c r="AJ7" s="22">
        <f>IF($A7=0,1/12,IFERROR(INDEX(Parameters!$X$2:$AI$17,MATCH(Calculations!$A7,Parameters!$A$2:$A$17,0),MONTH(Calculations!AJ$3)),1/12))</f>
        <v>0.03053435114503817</v>
      </c>
      <c r="AK7" s="22">
        <f>IF($A7=0,1/12,IFERROR(INDEX(Parameters!$X$2:$AI$17,MATCH(Calculations!$A7,Parameters!$A$2:$A$17,0),MONTH(Calculations!AK$3)),1/12))</f>
        <v>0.04580152671755726</v>
      </c>
      <c r="AL7" s="22">
        <f>IF($A7=0,1/12,IFERROR(INDEX(Parameters!$X$2:$AI$17,MATCH(Calculations!$A7,Parameters!$A$2:$A$17,0),MONTH(Calculations!AL$3)),1/12))</f>
        <v>0.07633587786259544</v>
      </c>
      <c r="AM7" s="22">
        <f>IF($A7=0,1/12,IFERROR(INDEX(Parameters!$X$2:$AI$17,MATCH(Calculations!$A7,Parameters!$A$2:$A$17,0),MONTH(Calculations!AM$3)),1/12))</f>
        <v>0.183206106870229</v>
      </c>
      <c r="AN7" s="22">
        <f>IF($A7=0,1/12,IFERROR(INDEX(Parameters!$X$2:$AI$17,MATCH(Calculations!$A7,Parameters!$A$2:$A$17,0),MONTH(Calculations!AN$3)),1/12))</f>
        <v>0.2290076335877863</v>
      </c>
      <c r="AO7" s="22">
        <f>IF($A7=0,1/12,IFERROR(INDEX(Parameters!$X$2:$AI$17,MATCH(Calculations!$A7,Parameters!$A$2:$A$17,0),MONTH(Calculations!AO$3)),1/12))</f>
        <v>0.2290076335877863</v>
      </c>
      <c r="AP7" s="22">
        <f>IF($A7=0,1/12,IFERROR(INDEX(Parameters!$X$2:$AI$17,MATCH(Calculations!$A7,Parameters!$A$2:$A$17,0),MONTH(Calculations!AP$3)),1/12))</f>
        <v>0.1374045801526718</v>
      </c>
      <c r="AQ7" s="22">
        <f>IF($A7=0,1/12,IFERROR(INDEX(Parameters!$X$2:$AI$17,MATCH(Calculations!$A7,Parameters!$A$2:$A$17,0),MONTH(Calculations!AQ$3)),1/12))</f>
        <v>0.03816793893129772</v>
      </c>
      <c r="AR7" s="22">
        <f>IF($A7=0,1/12,IFERROR(INDEX(Parameters!$X$2:$AI$17,MATCH(Calculations!$A7,Parameters!$A$2:$A$17,0),MONTH(Calculations!AR$3)),1/12))</f>
        <v>0.007633587786259543</v>
      </c>
      <c r="AS7" s="22">
        <f>IF($A7=0,1/12,IFERROR(INDEX(Parameters!$X$2:$AI$17,MATCH(Calculations!$A7,Parameters!$A$2:$A$17,0),MONTH(Calculations!AS$3)),1/12))</f>
        <v>0.007633587786259543</v>
      </c>
      <c r="AT7" s="22">
        <f>IF($A7=0,1/12,IFERROR(INDEX(Parameters!$X$2:$AI$17,MATCH(Calculations!$A7,Parameters!$A$2:$A$17,0),MONTH(Calculations!AT$3)),1/12))</f>
        <v>0.007633587786259543</v>
      </c>
      <c r="AU7" s="22">
        <f>IF($A7=0,1/12,IFERROR(INDEX(Parameters!$X$2:$AI$17,MATCH(Calculations!$A7,Parameters!$A$2:$A$17,0),MONTH(Calculations!AU$3)),1/12))</f>
        <v>0.007633587786259543</v>
      </c>
      <c r="AV7" s="22">
        <f>IF($A7=0,1/12,IFERROR(INDEX(Parameters!$X$2:$AI$17,MATCH(Calculations!$A7,Parameters!$A$2:$A$17,0),MONTH(Calculations!AV$3)),1/12))</f>
        <v>0.03053435114503817</v>
      </c>
      <c r="AW7" s="22">
        <f>IF($A7=0,1/12,IFERROR(INDEX(Parameters!$X$2:$AI$17,MATCH(Calculations!$A7,Parameters!$A$2:$A$17,0),MONTH(Calculations!AW$3)),1/12))</f>
        <v>0.04580152671755726</v>
      </c>
      <c r="AX7" s="22">
        <f>IF($A7=0,1/12,IFERROR(INDEX(Parameters!$X$2:$AI$17,MATCH(Calculations!$A7,Parameters!$A$2:$A$17,0),MONTH(Calculations!AX$3)),1/12))</f>
        <v>0.07633587786259544</v>
      </c>
      <c r="AY7" s="22">
        <f>IF($A7=0,1/12,IFERROR(INDEX(Parameters!$X$2:$AI$17,MATCH(Calculations!$A7,Parameters!$A$2:$A$17,0),MONTH(Calculations!AY$3)),1/12))</f>
        <v>0.183206106870229</v>
      </c>
      <c r="AZ7" s="22">
        <f>IF($A7=0,1/12,IFERROR(INDEX(Parameters!$X$2:$AI$17,MATCH(Calculations!$A7,Parameters!$A$2:$A$17,0),MONTH(Calculations!AZ$3)),1/12))</f>
        <v>0.2290076335877863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106</v>
      </c>
      <c r="B13" s="15" t="s">
        <v>35</v>
      </c>
      <c r="C13" s="15" t="s">
        <v>212</v>
      </c>
      <c r="D13" s="15" t="s">
        <v>213</v>
      </c>
      <c r="E13" s="15" t="s">
        <v>214</v>
      </c>
      <c r="F13" s="15" t="s">
        <v>215</v>
      </c>
      <c r="G13" s="15" t="s">
        <v>216</v>
      </c>
      <c r="H13" s="15" t="s">
        <v>217</v>
      </c>
      <c r="I13" s="15" t="s">
        <v>218</v>
      </c>
      <c r="J13" s="15" t="s">
        <v>219</v>
      </c>
      <c r="K13" s="15" t="s">
        <v>220</v>
      </c>
      <c r="L13" s="15" t="s">
        <v>221</v>
      </c>
      <c r="M13" s="178" t="s">
        <v>222</v>
      </c>
      <c r="N13" s="178" t="s">
        <v>223</v>
      </c>
      <c r="O13" s="62" t="s">
        <v>224</v>
      </c>
      <c r="P13" s="62" t="s">
        <v>225</v>
      </c>
      <c r="Q13" s="62" t="s">
        <v>226</v>
      </c>
      <c r="R13" s="62" t="s">
        <v>227</v>
      </c>
      <c r="S13" s="62" t="s">
        <v>228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9000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148</v>
      </c>
      <c r="B22" s="74" t="s">
        <v>229</v>
      </c>
      <c r="C22" s="74" t="s">
        <v>230</v>
      </c>
      <c r="D22" s="74" t="s">
        <v>231</v>
      </c>
      <c r="E22" s="74" t="s">
        <v>232</v>
      </c>
    </row>
    <row r="23" spans="1:52">
      <c r="A23" s="75">
        <f>Inputs!A56</f>
        <v>100000</v>
      </c>
      <c r="B23" s="75">
        <f>SUM(C23:D23)</f>
        <v>9028.625886524822</v>
      </c>
      <c r="C23" s="75">
        <f>IF(Inputs!B56&gt;0,(Inputs!A56-Inputs!B56)/(DATE(YEAR(Inputs!$B$76),MONTH(Inputs!$B$76),DAY(Inputs!$B$76))-DATE(YEAR(Inputs!C56),MONTH(Inputs!C56),DAY(Inputs!C56)))*30,0)</f>
        <v>7195.292553191489</v>
      </c>
      <c r="D23" s="75">
        <f>IF(Inputs!B56&gt;0,Inputs!A56*0.22/12,0)</f>
        <v>1833.333333333333</v>
      </c>
      <c r="E23" s="75">
        <f>IFERROR(ROUNDUP(Inputs!B56/C23,0),0)</f>
        <v>2</v>
      </c>
    </row>
    <row r="24" spans="1:52">
      <c r="A24" s="46">
        <f>Inputs!A57</f>
        <v>100000</v>
      </c>
      <c r="B24" s="46">
        <f>SUM(C24:D24)</f>
        <v>14354.66312056738</v>
      </c>
      <c r="C24" s="46">
        <f>IF(Inputs!B57&gt;0,(Inputs!A57-Inputs!B57)/(DATE(YEAR(Inputs!$B$76),MONTH(Inputs!$B$76),DAY(Inputs!$B$76))-DATE(YEAR(Inputs!C57),MONTH(Inputs!C57),DAY(Inputs!C57)))*30,0)</f>
        <v>12521.32978723404</v>
      </c>
      <c r="D24" s="46">
        <f>IF(Inputs!B57&gt;0,Inputs!A57*0.22/12,0)</f>
        <v>1833.333333333333</v>
      </c>
      <c r="E24" s="46">
        <f>IFERROR(ROUNDUP(Inputs!B57/B24,0),0)</f>
        <v>2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234</v>
      </c>
      <c r="B32" s="129" t="s">
        <v>235</v>
      </c>
      <c r="C32" s="129" t="s">
        <v>236</v>
      </c>
      <c r="D32" s="129" t="s">
        <v>237</v>
      </c>
      <c r="F32" s="132" t="s">
        <v>238</v>
      </c>
      <c r="G32" s="132" t="s">
        <v>239</v>
      </c>
      <c r="I32" s="174" t="s">
        <v>240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42811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175</v>
      </c>
      <c r="G33" s="128">
        <f>IF(Inputs!B79="","",DATE(YEAR(Inputs!B79),MONTH(Inputs!B79),DAY(Inputs!B79)))</f>
        <v>42779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177</v>
      </c>
      <c r="G34" s="128">
        <f>IF(Inputs!B80="","",DATE(YEAR(Inputs!B80),MONTH(Inputs!B80),DAY(Inputs!B80)))</f>
        <v>42811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42872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42856</v>
      </c>
      <c r="F35" t="s">
        <v>179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42903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42887</v>
      </c>
      <c r="F36" t="s">
        <v>180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42933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42917</v>
      </c>
      <c r="F37" t="s">
        <v>241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42964</v>
      </c>
      <c r="C38" s="27">
        <f>IF(B38&lt;&gt;"",IF(COUNT($A$33:A38)&lt;=$G$39,0,$G$41)+IF(COUNT($A$33:A38)&lt;=$G$40,0,$G$42),0)</f>
        <v>9192.307692307691</v>
      </c>
      <c r="D38" s="170">
        <f>IFERROR(DATE(YEAR(B38),MONTH(B38),1)," ")</f>
        <v>42948</v>
      </c>
      <c r="F38" t="s">
        <v>242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42995</v>
      </c>
      <c r="C39" s="27">
        <f>IF(B39&lt;&gt;"",IF(COUNT($A$33:A39)&lt;=$G$39,0,$G$41)+IF(COUNT($A$33:A39)&lt;=$G$40,0,$G$42),0)</f>
        <v>9192.307692307691</v>
      </c>
      <c r="D39" s="170">
        <f>IFERROR(DATE(YEAR(B39),MONTH(B39),1)," ")</f>
        <v>42979</v>
      </c>
      <c r="F39" t="s">
        <v>185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43025</v>
      </c>
      <c r="C40" s="27">
        <f>IF(B40&lt;&gt;"",IF(COUNT($A$33:A40)&lt;=$G$39,0,$G$41)+IF(COUNT($A$33:A40)&lt;=$G$40,0,$G$42),0)</f>
        <v>9192.307692307691</v>
      </c>
      <c r="D40" s="170">
        <f>IFERROR(DATE(YEAR(B40),MONTH(B40),1)," ")</f>
        <v>43009</v>
      </c>
      <c r="F40" t="s">
        <v>186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43056</v>
      </c>
      <c r="C41" s="27">
        <f>IF(B41&lt;&gt;"",IF(COUNT($A$33:A41)&lt;=$G$39,0,$G$41)+IF(COUNT($A$33:A41)&lt;=$G$40,0,$G$42),0)</f>
        <v>9192.307692307691</v>
      </c>
      <c r="D41" s="170">
        <f>IFERROR(DATE(YEAR(B41),MONTH(B41),1)," ")</f>
        <v>43040</v>
      </c>
      <c r="F41" t="s">
        <v>243</v>
      </c>
      <c r="G41" s="73">
        <f>IFERROR(G35/(G38-G39),"")</f>
        <v>7692.307692307692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43086</v>
      </c>
      <c r="C42" s="27">
        <f>IF(B42&lt;&gt;"",IF(COUNT($A$33:A42)&lt;=$G$39,0,$G$41)+IF(COUNT($A$33:A42)&lt;=$G$40,0,$G$42),0)</f>
        <v>9192.307692307691</v>
      </c>
      <c r="D42" s="170">
        <f>IFERROR(DATE(YEAR(B42),MONTH(B42),1)," ")</f>
        <v>43070</v>
      </c>
      <c r="F42" t="s">
        <v>244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43117</v>
      </c>
      <c r="C43" s="27">
        <f>IF(B43&lt;&gt;"",IF(COUNT($A$33:A43)&lt;=$G$39,0,$G$41)+IF(COUNT($A$33:A43)&lt;=$G$40,0,$G$42),0)</f>
        <v>9192.307692307691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43148</v>
      </c>
      <c r="C44" s="27">
        <f>IF(B44&lt;&gt;"",IF(COUNT($A$33:A44)&lt;=$G$39,0,$G$41)+IF(COUNT($A$33:A44)&lt;=$G$40,0,$G$42),0)</f>
        <v>9192.307692307691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43176</v>
      </c>
      <c r="C45" s="27">
        <f>IF(B45&lt;&gt;"",IF(COUNT($A$33:A45)&lt;=$G$39,0,$G$41)+IF(COUNT($A$33:A45)&lt;=$G$40,0,$G$42),0)</f>
        <v>9192.307692307691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43207</v>
      </c>
      <c r="C46" s="27">
        <f>IF(B46&lt;&gt;"",IF(COUNT($A$33:A46)&lt;=$G$39,0,$G$41)+IF(COUNT($A$33:A46)&lt;=$G$40,0,$G$42),0)</f>
        <v>9192.307692307691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43237</v>
      </c>
      <c r="C47" s="27">
        <f>IF(B47&lt;&gt;"",IF(COUNT($A$33:A47)&lt;=$G$39,0,$G$41)+IF(COUNT($A$33:A47)&lt;=$G$40,0,$G$42),0)</f>
        <v>9192.307692307691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43268</v>
      </c>
      <c r="C48" s="27">
        <f>IF(B48&lt;&gt;"",IF(COUNT($A$33:A48)&lt;=$G$39,0,$G$41)+IF(COUNT($A$33:A48)&lt;=$G$40,0,$G$42),0)</f>
        <v>9192.307692307691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43298</v>
      </c>
      <c r="C49" s="27">
        <f>IF(B49&lt;&gt;"",IF(COUNT($A$33:A49)&lt;=$G$39,0,$G$41)+IF(COUNT($A$33:A49)&lt;=$G$40,0,$G$42),0)</f>
        <v>9192.307692307691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43329</v>
      </c>
      <c r="C50" s="27">
        <f>IF(B50&lt;&gt;"",IF(COUNT($A$33:A50)&lt;=$G$39,0,$G$41)+IF(COUNT($A$33:A50)&lt;=$G$40,0,$G$42),0)</f>
        <v>9192.307692307691</v>
      </c>
      <c r="D50" s="170">
        <f>IFERROR(DATE(YEAR(B50),MONTH(B50),1)," ")</f>
        <v>43313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245</v>
      </c>
      <c r="C3" s="10" t="s">
        <v>246</v>
      </c>
      <c r="D3" s="10" t="s">
        <v>247</v>
      </c>
      <c r="E3" s="10" t="s">
        <v>248</v>
      </c>
      <c r="F3" s="10" t="s">
        <v>249</v>
      </c>
      <c r="G3" s="10" t="s">
        <v>250</v>
      </c>
      <c r="H3" s="10" t="s">
        <v>251</v>
      </c>
      <c r="I3" s="10" t="s">
        <v>252</v>
      </c>
      <c r="J3" s="10" t="s">
        <v>253</v>
      </c>
      <c r="K3" s="10" t="s">
        <v>254</v>
      </c>
      <c r="L3" s="10" t="s">
        <v>255</v>
      </c>
      <c r="M3" s="10" t="s">
        <v>256</v>
      </c>
      <c r="N3" s="10" t="s">
        <v>257</v>
      </c>
      <c r="O3" s="10" t="s">
        <v>258</v>
      </c>
      <c r="P3" s="10" t="s">
        <v>259</v>
      </c>
      <c r="Q3" s="10" t="s">
        <v>260</v>
      </c>
      <c r="R3" s="10" t="s">
        <v>261</v>
      </c>
      <c r="S3" s="10" t="s">
        <v>262</v>
      </c>
      <c r="T3" s="10" t="s">
        <v>263</v>
      </c>
      <c r="U3" s="10" t="s">
        <v>203</v>
      </c>
      <c r="V3" s="10" t="s">
        <v>201</v>
      </c>
      <c r="W3" s="10" t="s">
        <v>264</v>
      </c>
      <c r="X3" s="10" t="s">
        <v>265</v>
      </c>
      <c r="Y3" s="10" t="s">
        <v>266</v>
      </c>
      <c r="Z3" s="10" t="s">
        <v>267</v>
      </c>
      <c r="AA3" s="10" t="s">
        <v>268</v>
      </c>
      <c r="AB3" s="10" t="s">
        <v>269</v>
      </c>
      <c r="AC3" s="10" t="s">
        <v>270</v>
      </c>
      <c r="AD3" s="10" t="s">
        <v>271</v>
      </c>
      <c r="AE3" s="10" t="s">
        <v>272</v>
      </c>
      <c r="AF3" s="10" t="s">
        <v>273</v>
      </c>
      <c r="AG3" s="10" t="s">
        <v>274</v>
      </c>
      <c r="AH3" s="10" t="s">
        <v>275</v>
      </c>
      <c r="AI3" s="10" t="s">
        <v>276</v>
      </c>
    </row>
    <row r="4" spans="1:36" s="93" customFormat="1">
      <c r="A4" s="93" t="s">
        <v>277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280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281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281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281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281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100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281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281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290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281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281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106</v>
      </c>
      <c r="B22" s="8" t="s">
        <v>292</v>
      </c>
      <c r="C22" s="10" t="s">
        <v>293</v>
      </c>
      <c r="D22" s="10" t="s">
        <v>294</v>
      </c>
      <c r="E22" s="10" t="s">
        <v>295</v>
      </c>
      <c r="F22" s="10" t="s">
        <v>296</v>
      </c>
      <c r="G22" s="10" t="s">
        <v>297</v>
      </c>
      <c r="H22" s="10" t="s">
        <v>298</v>
      </c>
      <c r="I22" s="10" t="s">
        <v>217</v>
      </c>
      <c r="J22" s="10" t="s">
        <v>299</v>
      </c>
      <c r="K22" s="10" t="s">
        <v>300</v>
      </c>
      <c r="L22" s="10" t="s">
        <v>301</v>
      </c>
      <c r="M22" s="10" t="s">
        <v>302</v>
      </c>
      <c r="N22" s="10" t="s">
        <v>303</v>
      </c>
      <c r="O22" s="10" t="s">
        <v>304</v>
      </c>
      <c r="P22" s="10" t="s">
        <v>305</v>
      </c>
    </row>
    <row r="23" spans="1:36" s="21" customFormat="1">
      <c r="A23" s="21" t="s">
        <v>306</v>
      </c>
      <c r="B23" s="21" t="s">
        <v>307</v>
      </c>
      <c r="C23" s="72" t="s">
        <v>308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309</v>
      </c>
      <c r="B24" s="21" t="s">
        <v>310</v>
      </c>
      <c r="C24" s="116" t="s">
        <v>279</v>
      </c>
      <c r="D24" s="115" t="s">
        <v>279</v>
      </c>
      <c r="E24" s="106">
        <v>0.05</v>
      </c>
      <c r="F24" s="106">
        <v>0.1</v>
      </c>
      <c r="G24" s="106">
        <v>0.2</v>
      </c>
      <c r="H24" s="116" t="s">
        <v>279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118</v>
      </c>
      <c r="B25" s="16" t="s">
        <v>311</v>
      </c>
      <c r="C25" s="30" t="s">
        <v>312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279</v>
      </c>
      <c r="J25" s="72" t="s">
        <v>279</v>
      </c>
      <c r="K25" s="72" t="s">
        <v>279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313</v>
      </c>
      <c r="B26" s="16" t="s">
        <v>310</v>
      </c>
      <c r="C26" s="116" t="s">
        <v>279</v>
      </c>
      <c r="D26" s="115" t="s">
        <v>279</v>
      </c>
      <c r="E26" s="106">
        <v>0.2</v>
      </c>
      <c r="F26" s="106">
        <v>0.7</v>
      </c>
      <c r="G26" s="106">
        <v>2</v>
      </c>
      <c r="H26" s="116" t="s">
        <v>279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120</v>
      </c>
      <c r="B27" s="71" t="s">
        <v>310</v>
      </c>
      <c r="C27" s="116" t="s">
        <v>279</v>
      </c>
      <c r="D27" s="115" t="s">
        <v>279</v>
      </c>
      <c r="E27" s="106">
        <v>0.15</v>
      </c>
      <c r="F27" s="106">
        <v>0.25</v>
      </c>
      <c r="G27" s="106">
        <v>1</v>
      </c>
      <c r="H27" s="116" t="s">
        <v>279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314</v>
      </c>
      <c r="B28" s="71" t="s">
        <v>310</v>
      </c>
      <c r="C28" s="116" t="s">
        <v>279</v>
      </c>
      <c r="D28" s="115" t="s">
        <v>279</v>
      </c>
      <c r="E28" s="106">
        <v>0.15</v>
      </c>
      <c r="F28" s="106">
        <v>0.25</v>
      </c>
      <c r="G28" s="106">
        <v>1</v>
      </c>
      <c r="H28" s="116" t="s">
        <v>279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315</v>
      </c>
      <c r="B29" s="118" t="s">
        <v>310</v>
      </c>
      <c r="C29" s="31" t="s">
        <v>279</v>
      </c>
      <c r="D29" s="31" t="s">
        <v>279</v>
      </c>
      <c r="E29" s="24">
        <v>0.1</v>
      </c>
      <c r="F29" s="24">
        <v>0.2</v>
      </c>
      <c r="G29" s="24">
        <v>0</v>
      </c>
      <c r="H29" s="31" t="s">
        <v>279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316</v>
      </c>
      <c r="B30" s="70" t="s">
        <v>310</v>
      </c>
    </row>
    <row r="31" spans="1:36">
      <c r="H31" s="86"/>
      <c r="I31" s="86"/>
      <c r="AI31" s="12"/>
    </row>
    <row r="32" spans="1:36">
      <c r="A32" s="3" t="s">
        <v>317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318</v>
      </c>
      <c r="B34" s="11" t="s">
        <v>319</v>
      </c>
    </row>
    <row r="35" spans="1:36">
      <c r="A35" t="s">
        <v>320</v>
      </c>
      <c r="B35" s="72">
        <v>60</v>
      </c>
      <c r="C35" s="86"/>
    </row>
    <row r="36" spans="1:36">
      <c r="A36" t="s">
        <v>321</v>
      </c>
      <c r="B36" s="72">
        <v>2000</v>
      </c>
      <c r="C36" s="86"/>
    </row>
    <row r="37" spans="1:36">
      <c r="A37" t="s">
        <v>322</v>
      </c>
      <c r="B37" s="2">
        <v>0.4</v>
      </c>
    </row>
    <row r="39" spans="1:36">
      <c r="A39" s="3" t="s">
        <v>323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324</v>
      </c>
      <c r="C40" s="193"/>
    </row>
    <row r="41" spans="1:36">
      <c r="A41" s="5" t="s">
        <v>106</v>
      </c>
      <c r="B41" s="191" t="s">
        <v>103</v>
      </c>
      <c r="C41" s="191" t="s">
        <v>92</v>
      </c>
    </row>
    <row r="42" spans="1:36">
      <c r="A42" t="s">
        <v>306</v>
      </c>
      <c r="B42" s="72">
        <v>450</v>
      </c>
      <c r="C42" s="72">
        <v>450</v>
      </c>
    </row>
    <row r="43" spans="1:36">
      <c r="A43" t="s">
        <v>309</v>
      </c>
      <c r="B43" s="72">
        <v>450</v>
      </c>
      <c r="C43" s="72">
        <v>250</v>
      </c>
    </row>
    <row r="44" spans="1:36">
      <c r="A44" t="s">
        <v>118</v>
      </c>
      <c r="B44" s="72">
        <v>50000</v>
      </c>
      <c r="C44" s="72">
        <v>200000</v>
      </c>
    </row>
    <row r="45" spans="1:36">
      <c r="A45" t="s">
        <v>313</v>
      </c>
      <c r="B45" s="72">
        <v>25000</v>
      </c>
      <c r="C45" s="72">
        <v>50000</v>
      </c>
    </row>
    <row r="46" spans="1:36">
      <c r="A46" t="s">
        <v>120</v>
      </c>
      <c r="B46" s="72">
        <v>6000</v>
      </c>
      <c r="C46" s="72">
        <v>12000</v>
      </c>
    </row>
    <row r="47" spans="1:36">
      <c r="A47" t="s">
        <v>314</v>
      </c>
      <c r="B47" s="72">
        <v>4500</v>
      </c>
      <c r="C47" s="72">
        <v>12000</v>
      </c>
    </row>
    <row r="48" spans="1:36">
      <c r="A48" t="s">
        <v>315</v>
      </c>
      <c r="B48" s="72">
        <v>20000</v>
      </c>
      <c r="C48" s="72">
        <v>20000</v>
      </c>
      <c r="D48" s="72"/>
    </row>
    <row r="50" spans="1:36">
      <c r="A50" s="3" t="s">
        <v>325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286</v>
      </c>
      <c r="E52" s="12" t="s">
        <v>286</v>
      </c>
      <c r="F52" s="12" t="s">
        <v>286</v>
      </c>
      <c r="G52" s="12" t="s">
        <v>326</v>
      </c>
      <c r="H52" s="12" t="s">
        <v>139</v>
      </c>
      <c r="I52" s="12" t="s">
        <v>327</v>
      </c>
      <c r="AJ52" s="12"/>
    </row>
    <row r="53" spans="1:36" customHeight="1" ht="30">
      <c r="A53" s="11" t="s">
        <v>328</v>
      </c>
      <c r="B53" s="11" t="s">
        <v>329</v>
      </c>
      <c r="C53" s="11" t="s">
        <v>330</v>
      </c>
      <c r="D53" s="10" t="s">
        <v>245</v>
      </c>
      <c r="E53" s="10" t="s">
        <v>204</v>
      </c>
      <c r="F53" s="10" t="s">
        <v>264</v>
      </c>
      <c r="G53" s="10" t="s">
        <v>331</v>
      </c>
      <c r="H53" s="10" t="s">
        <v>332</v>
      </c>
      <c r="I53" s="10" t="s">
        <v>332</v>
      </c>
      <c r="AJ53" s="12"/>
    </row>
    <row r="54" spans="1:36">
      <c r="A54">
        <v>8</v>
      </c>
      <c r="B54" s="12" t="s">
        <v>333</v>
      </c>
      <c r="C54" s="12" t="s">
        <v>334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335</v>
      </c>
      <c r="C55" s="12" t="s">
        <v>334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336</v>
      </c>
      <c r="C56" s="116" t="s">
        <v>337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338</v>
      </c>
      <c r="C57" s="116" t="s">
        <v>334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339</v>
      </c>
      <c r="C58" s="116" t="s">
        <v>334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340</v>
      </c>
      <c r="C59" s="116" t="s">
        <v>337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341</v>
      </c>
      <c r="C60" s="116" t="s">
        <v>337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342</v>
      </c>
      <c r="C61" s="116" t="s">
        <v>337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343</v>
      </c>
      <c r="C62" s="116" t="s">
        <v>337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344</v>
      </c>
      <c r="C63" s="116" t="s">
        <v>337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345</v>
      </c>
      <c r="C64" s="116" t="s">
        <v>337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346</v>
      </c>
      <c r="C65" s="12" t="s">
        <v>337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347</v>
      </c>
      <c r="C66" s="12" t="s">
        <v>337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348</v>
      </c>
      <c r="C67" s="12" t="s">
        <v>337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349</v>
      </c>
      <c r="C68" s="12" t="s">
        <v>337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350</v>
      </c>
      <c r="C69" s="12" t="s">
        <v>337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351</v>
      </c>
      <c r="C70" s="12" t="s">
        <v>337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352</v>
      </c>
      <c r="C71" s="12" t="s">
        <v>334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354</v>
      </c>
      <c r="B76" s="11" t="s">
        <v>355</v>
      </c>
      <c r="C76" s="11" t="s">
        <v>182</v>
      </c>
      <c r="D76" s="11" t="s">
        <v>356</v>
      </c>
      <c r="E76" s="11" t="s">
        <v>80</v>
      </c>
      <c r="F76" s="11" t="s">
        <v>357</v>
      </c>
      <c r="G76" s="11" t="s">
        <v>358</v>
      </c>
      <c r="H76" s="11" t="s">
        <v>359</v>
      </c>
      <c r="I76" s="11" t="s">
        <v>241</v>
      </c>
      <c r="J76" s="11" t="s">
        <v>360</v>
      </c>
      <c r="K76" s="11" t="s">
        <v>194</v>
      </c>
      <c r="AJ76" s="12"/>
    </row>
    <row r="77" spans="1:36">
      <c r="A77" t="s">
        <v>92</v>
      </c>
      <c r="B77" s="176">
        <v>0</v>
      </c>
      <c r="C77" s="12" t="s">
        <v>361</v>
      </c>
      <c r="E77" s="12" t="s">
        <v>103</v>
      </c>
      <c r="F77" s="12" t="s">
        <v>103</v>
      </c>
      <c r="G77" s="12" t="s">
        <v>121</v>
      </c>
      <c r="H77" s="12" t="s">
        <v>139</v>
      </c>
      <c r="I77" s="12" t="s">
        <v>362</v>
      </c>
      <c r="J77" s="136" t="s">
        <v>101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363</v>
      </c>
      <c r="D78" s="133"/>
      <c r="E78" s="12" t="s">
        <v>102</v>
      </c>
      <c r="F78" s="12" t="s">
        <v>93</v>
      </c>
      <c r="G78" s="12" t="s">
        <v>119</v>
      </c>
      <c r="H78" s="12" t="s">
        <v>327</v>
      </c>
      <c r="I78" s="12" t="s">
        <v>364</v>
      </c>
      <c r="J78" s="70" t="s">
        <v>365</v>
      </c>
      <c r="K78" s="12" t="s">
        <v>103</v>
      </c>
      <c r="AJ78" s="12"/>
    </row>
    <row r="79" spans="1:36">
      <c r="B79" s="176">
        <v>10</v>
      </c>
      <c r="C79" s="12" t="s">
        <v>169</v>
      </c>
      <c r="D79" s="12">
        <v>1</v>
      </c>
      <c r="E79" s="12" t="s">
        <v>366</v>
      </c>
      <c r="F79" s="12" t="s">
        <v>367</v>
      </c>
      <c r="G79" s="12" t="s">
        <v>368</v>
      </c>
      <c r="I79" s="12" t="s">
        <v>182</v>
      </c>
      <c r="J79" s="70" t="s">
        <v>369</v>
      </c>
      <c r="K79" s="12" t="s">
        <v>103</v>
      </c>
      <c r="AJ79" s="12"/>
    </row>
    <row r="80" spans="1:36">
      <c r="B80" s="176">
        <v>20</v>
      </c>
      <c r="C80" s="12" t="s">
        <v>96</v>
      </c>
      <c r="D80" s="12">
        <f>D79+1</f>
        <v>2</v>
      </c>
      <c r="E80" s="12" t="s">
        <v>91</v>
      </c>
      <c r="F80" s="12" t="s">
        <v>98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99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164</v>
      </c>
      <c r="D86" s="12">
        <f>D85+1</f>
        <v>8</v>
      </c>
    </row>
    <row r="87" spans="1:36">
      <c r="B87" s="176">
        <v>89.99999999999999</v>
      </c>
      <c r="C87" s="12" t="s">
        <v>165</v>
      </c>
      <c r="D87" s="12">
        <f>D86+1</f>
        <v>9</v>
      </c>
    </row>
    <row r="88" spans="1:36">
      <c r="B88" s="176">
        <v>99.99999999999999</v>
      </c>
      <c r="C88" s="12" t="s">
        <v>166</v>
      </c>
      <c r="D88" s="12">
        <f>D87+1</f>
        <v>10</v>
      </c>
    </row>
    <row r="89" spans="1:36">
      <c r="C89" s="12" t="s">
        <v>167</v>
      </c>
      <c r="D89" s="12">
        <f>D88+1</f>
        <v>11</v>
      </c>
    </row>
    <row r="90" spans="1:36">
      <c r="C90" s="12" t="s">
        <v>168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