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<sst xmlns="http://schemas.openxmlformats.org/spreadsheetml/2006/main" uniqueCount="372">
  <si>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</si>
  <si>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</si>
  <si>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</si>
  <si>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</si>
  <si>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</si>
  <si>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</si>
  <si>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</si>
  <si>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</si>
  <si>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</si>
  <si>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</si>
  <si>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</si>
  <si>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</si>
  <si>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</si>
  <si>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</si>
  <si>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</si>
  <si>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</si>
  <si>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</si>
  <si>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</si>
  <si>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</si>
  <si>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</si>
  <si>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</si>
  <si>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</si>
  <si>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</si>
  <si>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</si>
  <si>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</si>
  <si>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</si>
  <si>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</si>
  <si>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</si>
  <si>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</si>
  <si>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</si>
  <si>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</si>
  <si>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</si>
  <si>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</si>
  <si>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</si>
  <si>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</si>
  <si>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</si>
  <si>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</si>
  <si>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</si>
  <si>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</si>
  <si>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</si>
  <si>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</si>
  <si>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</si>
  <si>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</si>
  <si>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</si>
  <si>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</si>
  <si>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</si>
  <si>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</si>
  <si>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</si>
  <si>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</si>
  <si>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</si>
  <si>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</si>
  <si>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</si>
  <si>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</si>
  <si>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</si>
  <si>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</si>
  <si>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</si>
  <si>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</si>
  <si>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</si>
  <si>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</si>
  <si>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</si>
  <si>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</si>
  <si>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</si>
  <si>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</si>
  <si>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</si>
  <si>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</si>
  <si>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</si>
  <si>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</si>
  <si>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</si>
  <si>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</si>
  <si>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</si>
  <si>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</si>
  <si>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</si>
  <si>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</si>
  <si>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</si>
  <si>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</si>
  <si>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</si>
  <si>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</si>
  <si>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</si>
  <si>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</si>
  <si>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</si>
  <si>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</si>
  <si>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</si>
  <si>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</si>
  <si>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</si>
  <si>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</si>
  <si>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</si>
  <si>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</si>
  <si>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</si>
  <si>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</si>
  <si>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</si>
  <si>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</si>
  <si>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</si>
  <si>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</si>
  <si>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Yes without the use of a pump</t>
  </si>
  <si>
    <t>January</t>
  </si>
  <si>
    <t>Maize</t>
  </si>
  <si>
    <t>Shop_certified variety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</si>
  <si>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</si>
  <si>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</si>
  <si>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</si>
  <si>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</si>
  <si>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</si>
  <si>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</si>
  <si>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</si>
  <si>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</si>
  <si>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</si>
  <si>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</si>
  <si>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</si>
  <si>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</si>
  <si>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</si>
  <si>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</si>
  <si>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</si>
  <si>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</si>
  <si>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</si>
  <si>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</si>
  <si>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</si>
  <si>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</si>
  <si>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 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</si>
  <si>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</si>
  <si>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</si>
  <si>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</si>
  <si>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</si>
  <si>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</si>
  <si>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</si>
  <si>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</si>
  <si>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</si>
  <si>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</si>
  <si>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</si>
  <si>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</si>
  <si>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</si>
  <si>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</si>
  <si>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</si>
  <si>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</si>
  <si>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</si>
  <si>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</si>
  <si>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</si>
  <si>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</si>
  <si>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</si>
  <si>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</si>
  <si>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</si>
  <si>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</si>
  <si>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</si>
  <si>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</si>
  <si>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</si>
  <si>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</si>
  <si>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8/23/2016</t>
  </si>
  <si>
    <t>Eclof</t>
  </si>
  <si>
    <t>Loan is being serviced well.</t>
  </si>
  <si>
    <t>2/2/2016</t>
  </si>
  <si>
    <t>Musoni (K) LTD</t>
  </si>
  <si>
    <t>No</t>
  </si>
  <si>
    <t>The loan is a check-off and sometimes posting to the client's accounts delays.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</si>
  <si>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</si>
  <si>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</si>
  <si>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</si>
  <si>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</si>
  <si>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</si>
  <si>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</si>
  <si>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</si>
  <si>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</si>
  <si>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</si>
  <si>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</si>
  <si>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</si>
  <si>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2017/2/8</t>
  </si>
  <si>
    <t>Loan terms</t>
  </si>
  <si>
    <t>Expected disbursement date</t>
  </si>
  <si>
    <t>2017/2/13</t>
  </si>
  <si>
    <t>Expected first repayment date</t>
  </si>
  <si>
    <t>2017/3/16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</si>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</sst>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Boda 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0.1648230307506257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0.08624620060790274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9192.307692307691</v>
      </c>
    </row>
    <row r="17" spans="1:7">
      <c r="B17" s="1" t="s">
        <v>11</v>
      </c>
      <c r="C17" s="36">
        <f>SUM(Output!B6:M6)</f>
        <v>366036.2066296721</v>
      </c>
    </row>
    <row r="18" spans="1:7">
      <c r="B18" s="1" t="s">
        <v>12</v>
      </c>
      <c r="C18" s="36">
        <f>MIN(Output!B6:M6)</f>
        <v>13527.03315003738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74530.6762234263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95000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65173.34432166387</v>
      </c>
      <c r="C6" s="51">
        <f>C30-C88</f>
        <v>16056.36110702663</v>
      </c>
      <c r="D6" s="51">
        <f>D30-D88</f>
        <v>13527.03315003738</v>
      </c>
      <c r="E6" s="51">
        <f>E30-E88</f>
        <v>20436.03315003738</v>
      </c>
      <c r="F6" s="51">
        <f>F30-F88</f>
        <v>19536.03315003738</v>
      </c>
      <c r="G6" s="51">
        <f>G30-G88</f>
        <v>20436.03315003738</v>
      </c>
      <c r="H6" s="51">
        <f>H30-H88</f>
        <v>74530.6762234263</v>
      </c>
      <c r="I6" s="51">
        <f>I30-I88</f>
        <v>29229.93847548117</v>
      </c>
      <c r="J6" s="51">
        <f>J30-J88</f>
        <v>22320.93847548117</v>
      </c>
      <c r="K6" s="51">
        <f>K30-K88</f>
        <v>29229.93847548117</v>
      </c>
      <c r="L6" s="51">
        <f>L30-L88</f>
        <v>28329.93847548117</v>
      </c>
      <c r="M6" s="51">
        <f>M30-M88</f>
        <v>27229.93847548117</v>
      </c>
      <c r="N6" s="51">
        <f>N30-N88</f>
        <v>83073.24427076356</v>
      </c>
      <c r="O6" s="51">
        <f>O30-O88</f>
        <v>29229.93847548117</v>
      </c>
      <c r="P6" s="51">
        <f>P30-P88</f>
        <v>22320.93847548117</v>
      </c>
      <c r="Q6" s="51">
        <f>Q30-Q88</f>
        <v>29229.93847548117</v>
      </c>
      <c r="R6" s="51">
        <f>R30-R88</f>
        <v>28329.93847548117</v>
      </c>
      <c r="S6" s="51">
        <f>S30-S88</f>
        <v>29229.93847548117</v>
      </c>
      <c r="T6" s="51">
        <f>T30-T88</f>
        <v>83073.24427076356</v>
      </c>
      <c r="U6" s="51">
        <f>U30-U88</f>
        <v>29229.93847548117</v>
      </c>
      <c r="V6" s="51">
        <f>V30-V88</f>
        <v>22320.93847548117</v>
      </c>
      <c r="W6" s="51">
        <f>W30-W88</f>
        <v>29229.93847548117</v>
      </c>
      <c r="X6" s="51">
        <f>X30-X88</f>
        <v>28329.93847548117</v>
      </c>
      <c r="Y6" s="51">
        <f>Y30-Y88</f>
        <v>27229.93847548117</v>
      </c>
      <c r="Z6" s="51">
        <f>SUMIF($B$13:$Y$13,"Yes",B6:Y6)</f>
        <v>670523.387548605</v>
      </c>
      <c r="AA6" s="51">
        <f>AA30-AA88</f>
        <v>366036.2066296722</v>
      </c>
      <c r="AB6" s="51">
        <f>AB30-AB88</f>
        <v>806864.0799260102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2544</v>
      </c>
      <c r="I7" s="80">
        <f>IF(ISERROR(VLOOKUP(MONTH(I5),Inputs!$D$66:$D$71,1,0)),"",INDEX(Inputs!$B$66:$B$71,MATCH(MONTH(Output!I5),Inputs!$D$66:$D$71,0))-INDEX(Inputs!$C$66:$C$71,MATCH(MONTH(Output!I5),Inputs!$D$66:$D$71,0)))</f>
        <v>-5472</v>
      </c>
      <c r="J7" s="80">
        <f>IF(ISERROR(VLOOKUP(MONTH(J5),Inputs!$D$66:$D$71,1,0)),"",INDEX(Inputs!$B$66:$B$71,MATCH(MONTH(Output!J5),Inputs!$D$66:$D$71,0))-INDEX(Inputs!$C$66:$C$71,MATCH(MONTH(Output!J5),Inputs!$D$66:$D$71,0)))</f>
        <v>5051</v>
      </c>
      <c r="K7" s="80">
        <f>IF(ISERROR(VLOOKUP(MONTH(K5),Inputs!$D$66:$D$71,1,0)),"",INDEX(Inputs!$B$66:$B$71,MATCH(MONTH(Output!K5),Inputs!$D$66:$D$71,0))-INDEX(Inputs!$C$66:$C$71,MATCH(MONTH(Output!K5),Inputs!$D$66:$D$71,0)))</f>
        <v>12051</v>
      </c>
      <c r="L7" s="80">
        <f>IF(ISERROR(VLOOKUP(MONTH(L5),Inputs!$D$66:$D$71,1,0)),"",INDEX(Inputs!$B$66:$B$71,MATCH(MONTH(Output!L5),Inputs!$D$66:$D$71,0))-INDEX(Inputs!$C$66:$C$71,MATCH(MONTH(Output!L5),Inputs!$D$66:$D$71,0)))</f>
        <v>7775</v>
      </c>
      <c r="M7" s="80">
        <f>IF(ISERROR(VLOOKUP(MONTH(M5),Inputs!$D$66:$D$71,1,0)),"",INDEX(Inputs!$B$66:$B$71,MATCH(MONTH(Output!M5),Inputs!$D$66:$D$71,0))-INDEX(Inputs!$C$66:$C$71,MATCH(MONTH(Output!M5),Inputs!$D$66:$D$71,0)))</f>
        <v>-2108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2544</v>
      </c>
      <c r="U7" s="80">
        <f>IF(ISERROR(VLOOKUP(MONTH(U5),Inputs!$D$66:$D$71,1,0)),"",INDEX(Inputs!$B$66:$B$71,MATCH(MONTH(Output!U5),Inputs!$D$66:$D$71,0))-INDEX(Inputs!$C$66:$C$71,MATCH(MONTH(Output!U5),Inputs!$D$66:$D$71,0)))</f>
        <v>-5472</v>
      </c>
      <c r="V7" s="80">
        <f>IF(ISERROR(VLOOKUP(MONTH(V5),Inputs!$D$66:$D$71,1,0)),"",INDEX(Inputs!$B$66:$B$71,MATCH(MONTH(Output!V5),Inputs!$D$66:$D$71,0))-INDEX(Inputs!$C$66:$C$71,MATCH(MONTH(Output!V5),Inputs!$D$66:$D$71,0)))</f>
        <v>5051</v>
      </c>
      <c r="W7" s="80">
        <f>IF(ISERROR(VLOOKUP(MONTH(W5),Inputs!$D$66:$D$71,1,0)),"",INDEX(Inputs!$B$66:$B$71,MATCH(MONTH(Output!W5),Inputs!$D$66:$D$71,0))-INDEX(Inputs!$C$66:$C$71,MATCH(MONTH(Output!W5),Inputs!$D$66:$D$71,0)))</f>
        <v>12051</v>
      </c>
      <c r="X7" s="80">
        <f>IF(ISERROR(VLOOKUP(MONTH(X5),Inputs!$D$66:$D$71,1,0)),"",INDEX(Inputs!$B$66:$B$71,MATCH(MONTH(Output!X5),Inputs!$D$66:$D$71,0))-INDEX(Inputs!$C$66:$C$71,MATCH(MONTH(Output!X5),Inputs!$D$66:$D$71,0)))</f>
        <v>7775</v>
      </c>
      <c r="Y7" s="80">
        <f>IF(ISERROR(VLOOKUP(MONTH(Y5),Inputs!$D$66:$D$71,1,0)),"",INDEX(Inputs!$B$66:$B$71,MATCH(MONTH(Output!Y5),Inputs!$D$66:$D$71,0))-INDEX(Inputs!$C$66:$C$71,MATCH(MONTH(Output!Y5),Inputs!$D$66:$D$71,0)))</f>
        <v>-2108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9192.307692307691</v>
      </c>
      <c r="I10" s="37">
        <f>SUMPRODUCT((Calculations!$D$33:$D$84=Output!I5)+0,Calculations!$C$33:$C$84)</f>
        <v>9192.307692307691</v>
      </c>
      <c r="J10" s="37">
        <f>SUMPRODUCT((Calculations!$D$33:$D$84=Output!J5)+0,Calculations!$C$33:$C$84)</f>
        <v>9192.307692307691</v>
      </c>
      <c r="K10" s="37">
        <f>SUMPRODUCT((Calculations!$D$33:$D$84=Output!K5)+0,Calculations!$C$33:$C$84)</f>
        <v>9192.307692307691</v>
      </c>
      <c r="L10" s="37">
        <f>SUMPRODUCT((Calculations!$D$33:$D$84=Output!L5)+0,Calculations!$C$33:$C$84)</f>
        <v>9192.307692307691</v>
      </c>
      <c r="M10" s="37">
        <f>SUMPRODUCT((Calculations!$D$33:$D$84=Output!M5)+0,Calculations!$C$33:$C$84)</f>
        <v>9192.307692307691</v>
      </c>
      <c r="N10" s="37">
        <f>SUMPRODUCT((Calculations!$D$33:$D$84=Output!N5)+0,Calculations!$C$33:$C$84)</f>
        <v>9192.307692307691</v>
      </c>
      <c r="O10" s="37">
        <f>SUMPRODUCT((Calculations!$D$33:$D$84=Output!O5)+0,Calculations!$C$33:$C$84)</f>
        <v>9192.307692307691</v>
      </c>
      <c r="P10" s="37">
        <f>SUMPRODUCT((Calculations!$D$33:$D$84=Output!P5)+0,Calculations!$C$33:$C$84)</f>
        <v>9192.307692307691</v>
      </c>
      <c r="Q10" s="37">
        <f>SUMPRODUCT((Calculations!$D$33:$D$84=Output!Q5)+0,Calculations!$C$33:$C$84)</f>
        <v>9192.307692307691</v>
      </c>
      <c r="R10" s="37">
        <f>SUMPRODUCT((Calculations!$D$33:$D$84=Output!R5)+0,Calculations!$C$33:$C$84)</f>
        <v>9192.307692307691</v>
      </c>
      <c r="S10" s="37">
        <f>SUMPRODUCT((Calculations!$D$33:$D$84=Output!S5)+0,Calculations!$C$33:$C$84)</f>
        <v>9192.307692307691</v>
      </c>
      <c r="T10" s="37">
        <f>SUMPRODUCT((Calculations!$D$33:$D$84=Output!T5)+0,Calculations!$C$33:$C$84)</f>
        <v>9192.307692307691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127000</v>
      </c>
      <c r="AA10" s="37">
        <f>SUM(B10:M10)</f>
        <v>62653.84615384614</v>
      </c>
      <c r="AB10" s="37">
        <f>SUM(B10:Y10)</f>
        <v>127000</v>
      </c>
    </row>
    <row r="11" spans="1:30" customHeight="1" ht="15.75">
      <c r="A11" s="43" t="s">
        <v>31</v>
      </c>
      <c r="B11" s="80">
        <f>B6+B9-B10</f>
        <v>165173.3443216639</v>
      </c>
      <c r="C11" s="80">
        <f>C6+C9-C10</f>
        <v>14556.36110702663</v>
      </c>
      <c r="D11" s="80">
        <f>D6+D9-D10</f>
        <v>12027.03315003738</v>
      </c>
      <c r="E11" s="80">
        <f>E6+E9-E10</f>
        <v>18936.03315003738</v>
      </c>
      <c r="F11" s="80">
        <f>F6+F9-F10</f>
        <v>18036.03315003738</v>
      </c>
      <c r="G11" s="80">
        <f>G6+G9-G10</f>
        <v>18936.03315003738</v>
      </c>
      <c r="H11" s="80">
        <f>H6+H9-H10</f>
        <v>65338.36853111861</v>
      </c>
      <c r="I11" s="80">
        <f>I6+I9-I10</f>
        <v>20037.63078317348</v>
      </c>
      <c r="J11" s="80">
        <f>J6+J9-J10</f>
        <v>13128.63078317348</v>
      </c>
      <c r="K11" s="80">
        <f>K6+K9-K10</f>
        <v>20037.63078317348</v>
      </c>
      <c r="L11" s="80">
        <f>L6+L9-L10</f>
        <v>19137.63078317348</v>
      </c>
      <c r="M11" s="80">
        <f>M6+M9-M10</f>
        <v>18037.63078317348</v>
      </c>
      <c r="N11" s="80">
        <f>N6+N9-N10</f>
        <v>73880.93657845588</v>
      </c>
      <c r="O11" s="80">
        <f>O6+O9-O10</f>
        <v>20037.63078317348</v>
      </c>
      <c r="P11" s="80">
        <f>P6+P9-P10</f>
        <v>13128.63078317348</v>
      </c>
      <c r="Q11" s="80">
        <f>Q6+Q9-Q10</f>
        <v>20037.63078317348</v>
      </c>
      <c r="R11" s="80">
        <f>R6+R9-R10</f>
        <v>19137.63078317348</v>
      </c>
      <c r="S11" s="80">
        <f>S6+S9-S10</f>
        <v>20037.63078317348</v>
      </c>
      <c r="T11" s="80">
        <f>T6+T9-T10</f>
        <v>73880.93657845588</v>
      </c>
      <c r="U11" s="80">
        <f>U6+U9-U10</f>
        <v>29229.93847548117</v>
      </c>
      <c r="V11" s="80">
        <f>V6+V9-V10</f>
        <v>22320.93847548117</v>
      </c>
      <c r="W11" s="80">
        <f>W6+W9-W10</f>
        <v>29229.93847548117</v>
      </c>
      <c r="X11" s="80">
        <f>X6+X9-X10</f>
        <v>28329.93847548117</v>
      </c>
      <c r="Y11" s="80">
        <f>Y6+Y9-Y10</f>
        <v>27229.93847548117</v>
      </c>
      <c r="Z11" s="85">
        <f>SUMIF($B$13:$Y$13,"Yes",B11:Y11)</f>
        <v>643523.3875486052</v>
      </c>
      <c r="AA11" s="80">
        <f>SUM(B11:M11)</f>
        <v>403382.3604758261</v>
      </c>
      <c r="AB11" s="46">
        <f>SUM(B11:Y11)</f>
        <v>779864.0799260108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0.008276788821412136</v>
      </c>
      <c r="D12" s="82">
        <f>IF(D13="Yes",IF(SUM($B$10:D10)/(SUM($B$6:D6)+SUM($B$9:D9))&lt;0,999.99,SUM($B$10:D10)/(SUM($B$6:D6)+SUM($B$9:D9))),"")</f>
        <v>0.01540383157929752</v>
      </c>
      <c r="E12" s="82">
        <f>IF(E13="Yes",IF(SUM($B$10:E10)/(SUM($B$6:E6)+SUM($B$9:E9))&lt;0,999.99,SUM($B$10:E10)/(SUM($B$6:E6)+SUM($B$9:E9))),"")</f>
        <v>0.0209114830570235</v>
      </c>
      <c r="F12" s="82">
        <f>IF(F13="Yes",IF(SUM($B$10:F10)/(SUM($B$6:F6)+SUM($B$9:F9))&lt;0,999.99,SUM($B$10:F10)/(SUM($B$6:F6)+SUM($B$9:F9))),"")</f>
        <v>0.02556141332163292</v>
      </c>
      <c r="G12" s="82">
        <f>IF(G13="Yes",IF(SUM($B$10:G10)/(SUM($B$6:G6)+SUM($B$9:G9))&lt;0,999.99,SUM($B$10:G10)/(SUM($B$6:G6)+SUM($B$9:G9))),"")</f>
        <v>0.02939276452797275</v>
      </c>
      <c r="H12" s="82">
        <f>IF(H13="Yes",IF(SUM($B$10:H10)/(SUM($B$6:H6)+SUM($B$9:H9))&lt;0,999.99,SUM($B$10:H10)/(SUM($B$6:H6)+SUM($B$9:H9))),"")</f>
        <v>0.05062946558482923</v>
      </c>
      <c r="I12" s="82">
        <f>IF(I13="Yes",IF(SUM($B$10:I10)/(SUM($B$6:I6)+SUM($B$9:I9))&lt;0,999.99,SUM($B$10:I10)/(SUM($B$6:I6)+SUM($B$9:I9))),"")</f>
        <v>0.07211696798847367</v>
      </c>
      <c r="J12" s="82">
        <f>IF(J13="Yes",IF(SUM($B$10:J10)/(SUM($B$6:J6)+SUM($B$9:J9))&lt;0,999.99,SUM($B$10:J10)/(SUM($B$6:J6)+SUM($B$9:J9))),"")</f>
        <v>0.09200591503625498</v>
      </c>
      <c r="K12" s="82">
        <f>IF(K13="Yes",IF(SUM($B$10:K10)/(SUM($B$6:K6)+SUM($B$9:K9))&lt;0,999.99,SUM($B$10:K10)/(SUM($B$6:K6)+SUM($B$9:K9))),"")</f>
        <v>0.1078484374577248</v>
      </c>
      <c r="L12" s="82">
        <f>IF(L13="Yes",IF(SUM($B$10:L10)/(SUM($B$6:L6)+SUM($B$9:L9))&lt;0,999.99,SUM($B$10:L10)/(SUM($B$6:L6)+SUM($B$9:L9))),"")</f>
        <v>0.1218340355219191</v>
      </c>
      <c r="M12" s="82">
        <f>IF(M13="Yes",IF(SUM($B$10:M10)/(SUM($B$6:M6)+SUM($B$9:M9))&lt;0,999.99,SUM($B$10:M10)/(SUM($B$6:M6)+SUM($B$9:M9))),"")</f>
        <v>0.1344398681101466</v>
      </c>
      <c r="N12" s="82">
        <f>IF(N13="Yes",IF(SUM($B$10:N10)/(SUM($B$6:N6)+SUM($B$9:N9))&lt;0,999.99,SUM($B$10:N10)/(SUM($B$6:N6)+SUM($B$9:N9))),"")</f>
        <v>0.1308412261496132</v>
      </c>
      <c r="O12" s="82">
        <f>IF(O13="Yes",IF(SUM($B$10:O10)/(SUM($B$6:O6)+SUM($B$9:O9))&lt;0,999.99,SUM($B$10:O10)/(SUM($B$6:O6)+SUM($B$9:O9))),"")</f>
        <v>0.1401226736880393</v>
      </c>
      <c r="P12" s="82">
        <f>IF(P13="Yes",IF(SUM($B$10:P10)/(SUM($B$6:P6)+SUM($B$9:P9))&lt;0,999.99,SUM($B$10:P10)/(SUM($B$6:P6)+SUM($B$9:P9))),"")</f>
        <v>0.1502192920806518</v>
      </c>
      <c r="Q12" s="82">
        <f>IF(Q13="Yes",IF(SUM($B$10:Q10)/(SUM($B$6:Q6)+SUM($B$9:Q9))&lt;0,999.99,SUM($B$10:Q10)/(SUM($B$6:Q6)+SUM($B$9:Q9))),"")</f>
        <v>0.157841900785115</v>
      </c>
      <c r="R12" s="82">
        <f>IF(R13="Yes",IF(SUM($B$10:R10)/(SUM($B$6:R6)+SUM($B$9:R9))&lt;0,999.99,SUM($B$10:R10)/(SUM($B$6:R6)+SUM($B$9:R9))),"")</f>
        <v>0.1650137504484504</v>
      </c>
      <c r="S12" s="82">
        <f>IF(S13="Yes",IF(SUM($B$10:S10)/(SUM($B$6:S6)+SUM($B$9:S9))&lt;0,999.99,SUM($B$10:S10)/(SUM($B$6:S6)+SUM($B$9:S9))),"")</f>
        <v>0.1713690708477733</v>
      </c>
      <c r="T12" s="82">
        <f>IF(T13="Yes",IF(SUM($B$10:T10)/(SUM($B$6:T6)+SUM($B$9:T9))&lt;0,999.99,SUM($B$10:T10)/(SUM($B$6:T6)+SUM($B$9:T9))),"")</f>
        <v>0.1648230307506257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12637.0425475</v>
      </c>
      <c r="C18" s="36">
        <f>O18</f>
        <v>12637.0425475</v>
      </c>
      <c r="D18" s="36">
        <f>P18</f>
        <v>12637.0425475</v>
      </c>
      <c r="E18" s="36">
        <f>Q18</f>
        <v>12637.0425475</v>
      </c>
      <c r="F18" s="36">
        <f>R18</f>
        <v>12637.0425475</v>
      </c>
      <c r="G18" s="36">
        <f>S18</f>
        <v>12637.0425475</v>
      </c>
      <c r="H18" s="36">
        <f>T18</f>
        <v>12637.0425475</v>
      </c>
      <c r="I18" s="36">
        <f>U18</f>
        <v>12637.0425475</v>
      </c>
      <c r="J18" s="36">
        <f>V18</f>
        <v>12637.0425475</v>
      </c>
      <c r="K18" s="36">
        <f>W18</f>
        <v>12637.0425475</v>
      </c>
      <c r="L18" s="36">
        <f>X18</f>
        <v>12637.0425475</v>
      </c>
      <c r="M18" s="36">
        <f>Y18</f>
        <v>12637.0425475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12637.0425475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12637.0425475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12637.0425475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12637.0425475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12637.0425475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12637.0425475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12637.0425475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12637.0425475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12637.0425475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12637.0425475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12637.0425475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12637.0425475</v>
      </c>
      <c r="Z18" s="36">
        <f>SUMIF($B$13:$Y$13,"Yes",B18:Y18)</f>
        <v>240103.8084024999</v>
      </c>
      <c r="AA18" s="36">
        <f>SUM(B18:M18)</f>
        <v>151644.51057</v>
      </c>
      <c r="AB18" s="36">
        <f>SUM(B18:Y18)</f>
        <v>303289.0211399999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53843.3057952824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53843.3057952824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53843.3057952824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53843.3057952824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215373.2231811296</v>
      </c>
      <c r="AA19" s="36">
        <f>SUM(B19:M19)</f>
        <v>107686.6115905648</v>
      </c>
      <c r="AB19" s="36">
        <f>SUM(B19:Y19)</f>
        <v>215373.2231811296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606812.4999999999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</v>
      </c>
      <c r="C29" s="37">
        <f>Inputs!$B$30</f>
        <v>18000</v>
      </c>
      <c r="D29" s="37">
        <f>Inputs!$B$30</f>
        <v>18000</v>
      </c>
      <c r="E29" s="37">
        <f>Inputs!$B$30</f>
        <v>18000</v>
      </c>
      <c r="F29" s="37">
        <f>Inputs!$B$30</f>
        <v>18000</v>
      </c>
      <c r="G29" s="37">
        <f>Inputs!$B$30</f>
        <v>18000</v>
      </c>
      <c r="H29" s="37">
        <f>Inputs!$B$30</f>
        <v>18000</v>
      </c>
      <c r="I29" s="37">
        <f>Inputs!$B$30</f>
        <v>18000</v>
      </c>
      <c r="J29" s="37">
        <f>Inputs!$B$30</f>
        <v>18000</v>
      </c>
      <c r="K29" s="37">
        <f>Inputs!$B$30</f>
        <v>18000</v>
      </c>
      <c r="L29" s="37">
        <f>Inputs!$B$30</f>
        <v>18000</v>
      </c>
      <c r="M29" s="37">
        <f>Inputs!$B$30</f>
        <v>18000</v>
      </c>
      <c r="N29" s="37">
        <f>Inputs!$B$30</f>
        <v>18000</v>
      </c>
      <c r="O29" s="37">
        <f>Inputs!$B$30</f>
        <v>18000</v>
      </c>
      <c r="P29" s="37">
        <f>Inputs!$B$30</f>
        <v>18000</v>
      </c>
      <c r="Q29" s="37">
        <f>Inputs!$B$30</f>
        <v>18000</v>
      </c>
      <c r="R29" s="37">
        <f>Inputs!$B$30</f>
        <v>18000</v>
      </c>
      <c r="S29" s="37">
        <f>Inputs!$B$30</f>
        <v>18000</v>
      </c>
      <c r="T29" s="37">
        <f>Inputs!$B$30</f>
        <v>18000</v>
      </c>
      <c r="U29" s="37">
        <f>Inputs!$B$30</f>
        <v>18000</v>
      </c>
      <c r="V29" s="37">
        <f>Inputs!$B$30</f>
        <v>18000</v>
      </c>
      <c r="W29" s="37">
        <f>Inputs!$B$30</f>
        <v>18000</v>
      </c>
      <c r="X29" s="37">
        <f>Inputs!$B$30</f>
        <v>18000</v>
      </c>
      <c r="Y29" s="37">
        <f>Inputs!$B$30</f>
        <v>18000</v>
      </c>
      <c r="Z29" s="37">
        <f>SUMIF($B$13:$Y$13,"Yes",B29:Y29)</f>
        <v>342000</v>
      </c>
      <c r="AA29" s="37">
        <f>SUM(B29:M29)</f>
        <v>216000</v>
      </c>
      <c r="AB29" s="37">
        <f>SUM(B29:Y29)</f>
        <v>432000</v>
      </c>
    </row>
    <row r="30" spans="1:30" customHeight="1" ht="15.75">
      <c r="A30" s="1" t="s">
        <v>37</v>
      </c>
      <c r="B30" s="19">
        <f>SUM(B18:B29)</f>
        <v>116417.8483427824</v>
      </c>
      <c r="C30" s="19">
        <f>SUM(C18:C29)</f>
        <v>62574.54254749999</v>
      </c>
      <c r="D30" s="19">
        <f>SUM(D18:D29)</f>
        <v>62574.54254749999</v>
      </c>
      <c r="E30" s="19">
        <f>SUM(E18:E29)</f>
        <v>62574.54254749999</v>
      </c>
      <c r="F30" s="19">
        <f>SUM(F18:F29)</f>
        <v>62574.54254749999</v>
      </c>
      <c r="G30" s="19">
        <f>SUM(G18:G29)</f>
        <v>62574.54254749999</v>
      </c>
      <c r="H30" s="19">
        <f>SUM(H18:H29)</f>
        <v>116417.8483427824</v>
      </c>
      <c r="I30" s="19">
        <f>SUM(I18:I29)</f>
        <v>62574.54254749999</v>
      </c>
      <c r="J30" s="19">
        <f>SUM(J18:J29)</f>
        <v>62574.54254749999</v>
      </c>
      <c r="K30" s="19">
        <f>SUM(K18:K29)</f>
        <v>62574.54254749999</v>
      </c>
      <c r="L30" s="19">
        <f>SUM(L18:L29)</f>
        <v>62574.54254749999</v>
      </c>
      <c r="M30" s="19">
        <f>SUM(M18:M29)</f>
        <v>62574.54254749999</v>
      </c>
      <c r="N30" s="19">
        <f>SUM(N18:N29)</f>
        <v>116417.8483427824</v>
      </c>
      <c r="O30" s="19">
        <f>SUM(O18:O29)</f>
        <v>62574.54254749999</v>
      </c>
      <c r="P30" s="19">
        <f>SUM(P18:P29)</f>
        <v>62574.54254749999</v>
      </c>
      <c r="Q30" s="19">
        <f>SUM(Q18:Q29)</f>
        <v>62574.54254749999</v>
      </c>
      <c r="R30" s="19">
        <f>SUM(R18:R29)</f>
        <v>62574.54254749999</v>
      </c>
      <c r="S30" s="19">
        <f>SUM(S18:S29)</f>
        <v>62574.54254749999</v>
      </c>
      <c r="T30" s="19">
        <f>SUM(T18:T29)</f>
        <v>116417.8483427824</v>
      </c>
      <c r="U30" s="19">
        <f>SUM(U18:U29)</f>
        <v>62574.54254749999</v>
      </c>
      <c r="V30" s="19">
        <f>SUM(V18:V29)</f>
        <v>62574.54254749999</v>
      </c>
      <c r="W30" s="19">
        <f>SUM(W18:W29)</f>
        <v>62574.54254749999</v>
      </c>
      <c r="X30" s="19">
        <f>SUM(X18:X29)</f>
        <v>62574.54254749999</v>
      </c>
      <c r="Y30" s="19">
        <f>SUM(Y18:Y29)</f>
        <v>62574.54254749999</v>
      </c>
      <c r="Z30" s="19">
        <f>SUMIF($B$13:$Y$13,"Yes",B30:Y30)</f>
        <v>1404289.531583629</v>
      </c>
      <c r="AA30" s="19">
        <f>SUM(B30:M30)</f>
        <v>858581.1221605648</v>
      </c>
      <c r="AB30" s="19">
        <f>SUM(B30:Y30)</f>
        <v>1717162.244321129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6166.666666666667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6166.666666666667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6166.666666666667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6166.666666666667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21166.66666666667</v>
      </c>
      <c r="AA36" s="36">
        <f>SUM(B36:M36)</f>
        <v>14000</v>
      </c>
      <c r="AB36" s="36">
        <f>SUM(B36:Y36)</f>
        <v>28000.00000000001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3166.666666666666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6000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6000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6000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6000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18000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909.0000000000002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909.0000000000002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909.0000000000002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909.0000000000002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2727.000000000001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909.0000000000002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909.0000000000002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909.0000000000002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909.0000000000002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2727.000000000001</v>
      </c>
      <c r="AA44" s="36">
        <f>SUM(B44:M44)</f>
        <v>1818</v>
      </c>
      <c r="AB44" s="36">
        <f>SUM(B44:Y44)</f>
        <v>3636.000000000001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900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900</v>
      </c>
      <c r="M48" s="36">
        <f>Y48</f>
        <v>2000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900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900</v>
      </c>
      <c r="Y48" s="46">
        <f>SUM(Y49:Y53)</f>
        <v>2000</v>
      </c>
      <c r="Z48" s="46">
        <f>SUMIF($B$13:$Y$13,"Yes",B48:Y48)</f>
        <v>4700</v>
      </c>
      <c r="AA48" s="46">
        <f>SUM(B48:M48)</f>
        <v>3800</v>
      </c>
      <c r="AB48" s="46">
        <f>SUM(B48:Y48)</f>
        <v>7600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2000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2000</v>
      </c>
      <c r="Z49" s="46">
        <f>SUMIF($B$13:$Y$13,"Yes",B49:Y49)</f>
        <v>2000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900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900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900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900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2700</v>
      </c>
      <c r="AA50" s="46">
        <f>SUM(B50:M50)</f>
        <v>1800</v>
      </c>
      <c r="AB50" s="46">
        <f>SUM(B50:Y50)</f>
        <v>3600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28895.83333333332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3166.666666666666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19000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114000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24490.43740535216</v>
      </c>
      <c r="C81" s="46">
        <f>(SUM($AA$18:$AA$29)-SUM($AA$36,$AA$42,$AA$48,$AA$54,$AA$60,$AA$66,$AA$72:$AA$79))*Parameters!$B$37/12</f>
        <v>24490.43740535216</v>
      </c>
      <c r="D81" s="46">
        <f>(SUM($AA$18:$AA$29)-SUM($AA$36,$AA$42,$AA$48,$AA$54,$AA$60,$AA$66,$AA$72:$AA$79))*Parameters!$B$37/12</f>
        <v>24490.43740535216</v>
      </c>
      <c r="E81" s="46">
        <f>(SUM($AA$18:$AA$29)-SUM($AA$36,$AA$42,$AA$48,$AA$54,$AA$60,$AA$66,$AA$72:$AA$79))*Parameters!$B$37/12</f>
        <v>24490.43740535216</v>
      </c>
      <c r="F81" s="46">
        <f>(SUM($AA$18:$AA$29)-SUM($AA$36,$AA$42,$AA$48,$AA$54,$AA$60,$AA$66,$AA$72:$AA$79))*Parameters!$B$37/12</f>
        <v>24490.43740535216</v>
      </c>
      <c r="G81" s="46">
        <f>(SUM($AA$18:$AA$29)-SUM($AA$36,$AA$42,$AA$48,$AA$54,$AA$60,$AA$66,$AA$72:$AA$79))*Parameters!$B$37/12</f>
        <v>24490.43740535216</v>
      </c>
      <c r="H81" s="46">
        <f>(SUM($AA$18:$AA$29)-SUM($AA$36,$AA$42,$AA$48,$AA$54,$AA$60,$AA$66,$AA$72:$AA$79))*Parameters!$B$37/12</f>
        <v>24490.43740535216</v>
      </c>
      <c r="I81" s="46">
        <f>(SUM($AA$18:$AA$29)-SUM($AA$36,$AA$42,$AA$48,$AA$54,$AA$60,$AA$66,$AA$72:$AA$79))*Parameters!$B$37/12</f>
        <v>24490.43740535216</v>
      </c>
      <c r="J81" s="46">
        <f>(SUM($AA$18:$AA$29)-SUM($AA$36,$AA$42,$AA$48,$AA$54,$AA$60,$AA$66,$AA$72:$AA$79))*Parameters!$B$37/12</f>
        <v>24490.43740535216</v>
      </c>
      <c r="K81" s="46">
        <f>(SUM($AA$18:$AA$29)-SUM($AA$36,$AA$42,$AA$48,$AA$54,$AA$60,$AA$66,$AA$72:$AA$79))*Parameters!$B$37/12</f>
        <v>24490.43740535216</v>
      </c>
      <c r="L81" s="46">
        <f>(SUM($AA$18:$AA$29)-SUM($AA$36,$AA$42,$AA$48,$AA$54,$AA$60,$AA$66,$AA$72:$AA$79))*Parameters!$B$37/12</f>
        <v>24490.43740535216</v>
      </c>
      <c r="M81" s="46">
        <f>(SUM($AA$18:$AA$29)-SUM($AA$36,$AA$42,$AA$48,$AA$54,$AA$60,$AA$66,$AA$72:$AA$79))*Parameters!$B$37/12</f>
        <v>24490.43740535216</v>
      </c>
      <c r="N81" s="46">
        <f>(SUM($AA$18:$AA$29)-SUM($AA$36,$AA$42,$AA$48,$AA$54,$AA$60,$AA$66,$AA$72:$AA$79))*Parameters!$B$37/12</f>
        <v>24490.43740535216</v>
      </c>
      <c r="O81" s="46">
        <f>(SUM($AA$18:$AA$29)-SUM($AA$36,$AA$42,$AA$48,$AA$54,$AA$60,$AA$66,$AA$72:$AA$79))*Parameters!$B$37/12</f>
        <v>24490.43740535216</v>
      </c>
      <c r="P81" s="46">
        <f>(SUM($AA$18:$AA$29)-SUM($AA$36,$AA$42,$AA$48,$AA$54,$AA$60,$AA$66,$AA$72:$AA$79))*Parameters!$B$37/12</f>
        <v>24490.43740535216</v>
      </c>
      <c r="Q81" s="46">
        <f>(SUM($AA$18:$AA$29)-SUM($AA$36,$AA$42,$AA$48,$AA$54,$AA$60,$AA$66,$AA$72:$AA$79))*Parameters!$B$37/12</f>
        <v>24490.43740535216</v>
      </c>
      <c r="R81" s="46">
        <f>(SUM($AA$18:$AA$29)-SUM($AA$36,$AA$42,$AA$48,$AA$54,$AA$60,$AA$66,$AA$72:$AA$79))*Parameters!$B$37/12</f>
        <v>24490.43740535216</v>
      </c>
      <c r="S81" s="46">
        <f>(SUM($AA$18:$AA$29)-SUM($AA$36,$AA$42,$AA$48,$AA$54,$AA$60,$AA$66,$AA$72:$AA$79))*Parameters!$B$37/12</f>
        <v>24490.43740535216</v>
      </c>
      <c r="T81" s="46">
        <f>(SUM($AA$18:$AA$29)-SUM($AA$36,$AA$42,$AA$48,$AA$54,$AA$60,$AA$66,$AA$72:$AA$79))*Parameters!$B$37/12</f>
        <v>24490.43740535216</v>
      </c>
      <c r="U81" s="46">
        <f>(SUM($AA$18:$AA$29)-SUM($AA$36,$AA$42,$AA$48,$AA$54,$AA$60,$AA$66,$AA$72:$AA$79))*Parameters!$B$37/12</f>
        <v>24490.43740535216</v>
      </c>
      <c r="V81" s="46">
        <f>(SUM($AA$18:$AA$29)-SUM($AA$36,$AA$42,$AA$48,$AA$54,$AA$60,$AA$66,$AA$72:$AA$79))*Parameters!$B$37/12</f>
        <v>24490.43740535216</v>
      </c>
      <c r="W81" s="46">
        <f>(SUM($AA$18:$AA$29)-SUM($AA$36,$AA$42,$AA$48,$AA$54,$AA$60,$AA$66,$AA$72:$AA$79))*Parameters!$B$37/12</f>
        <v>24490.43740535216</v>
      </c>
      <c r="X81" s="46">
        <f>(SUM($AA$18:$AA$29)-SUM($AA$36,$AA$42,$AA$48,$AA$54,$AA$60,$AA$66,$AA$72:$AA$79))*Parameters!$B$37/12</f>
        <v>24490.43740535216</v>
      </c>
      <c r="Y81" s="46">
        <f>(SUM($AA$18:$AA$29)-SUM($AA$36,$AA$42,$AA$48,$AA$54,$AA$60,$AA$66,$AA$72:$AA$79))*Parameters!$B$37/12</f>
        <v>24490.43740535216</v>
      </c>
      <c r="Z81" s="46">
        <f>SUMIF($B$13:$Y$13,"Yes",B81:Y81)</f>
        <v>465318.3107016908</v>
      </c>
      <c r="AA81" s="46">
        <f>SUM(B81:M81)</f>
        <v>293885.2488642259</v>
      </c>
      <c r="AB81" s="46">
        <f>SUM(B81:Y81)</f>
        <v>587770.4977284515</v>
      </c>
    </row>
    <row r="82" spans="1:30">
      <c r="A82" s="16" t="s">
        <v>52</v>
      </c>
      <c r="B82" s="46">
        <f>SUM(B83:B87)</f>
        <v>17899.8999490997</v>
      </c>
      <c r="C82" s="46">
        <f>SUM(C83:C87)</f>
        <v>13173.57736845454</v>
      </c>
      <c r="D82" s="46">
        <f>SUM(D83:D87)</f>
        <v>8793.905325443786</v>
      </c>
      <c r="E82" s="46">
        <f>SUM(E83:E87)</f>
        <v>8793.905325443786</v>
      </c>
      <c r="F82" s="46">
        <f>SUM(F83:F87)</f>
        <v>8793.905325443786</v>
      </c>
      <c r="G82" s="46">
        <f>SUM(G83:G87)</f>
        <v>8793.905325443786</v>
      </c>
      <c r="H82" s="46">
        <f>SUM(H83:H87)</f>
        <v>8542.568047337278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74791.66666666667</v>
      </c>
      <c r="AA82" s="46">
        <f>SUM(B82:M82)</f>
        <v>74791.66666666667</v>
      </c>
      <c r="AB82" s="46">
        <f>SUM(B82:Y82)</f>
        <v>74791.66666666667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8793.905325443786</v>
      </c>
      <c r="C83" s="46">
        <f>IF(Calculations!$E23&gt;COUNT(Output!$B$35:C$35),Calculations!$B23,IF(Calculations!$E23=COUNT(Output!$B$35:C$35),Inputs!$B56-Calculations!$C23*(Calculations!$E23-1)+Calculations!$D23,0))</f>
        <v>8793.905325443786</v>
      </c>
      <c r="D83" s="46">
        <f>IF(Calculations!$E23&gt;COUNT(Output!$B$35:D$35),Calculations!$B23,IF(Calculations!$E23=COUNT(Output!$B$35:D$35),Inputs!$B56-Calculations!$C23*(Calculations!$E23-1)+Calculations!$D23,0))</f>
        <v>8793.905325443786</v>
      </c>
      <c r="E83" s="46">
        <f>IF(Calculations!$E23&gt;COUNT(Output!$B$35:E$35),Calculations!$B23,IF(Calculations!$E23=COUNT(Output!$B$35:E$35),Inputs!$B56-Calculations!$C23*(Calculations!$E23-1)+Calculations!$D23,0))</f>
        <v>8793.905325443786</v>
      </c>
      <c r="F83" s="46">
        <f>IF(Calculations!$E23&gt;COUNT(Output!$B$35:F$35),Calculations!$B23,IF(Calculations!$E23=COUNT(Output!$B$35:F$35),Inputs!$B56-Calculations!$C23*(Calculations!$E23-1)+Calculations!$D23,0))</f>
        <v>8793.905325443786</v>
      </c>
      <c r="G83" s="46">
        <f>IF(Calculations!$E23&gt;COUNT(Output!$B$35:G$35),Calculations!$B23,IF(Calculations!$E23=COUNT(Output!$B$35:G$35),Inputs!$B56-Calculations!$C23*(Calculations!$E23-1)+Calculations!$D23,0))</f>
        <v>8793.905325443786</v>
      </c>
      <c r="H83" s="46">
        <f>IF(Calculations!$E23&gt;COUNT(Output!$B$35:H$35),Calculations!$B23,IF(Calculations!$E23=COUNT(Output!$B$35:H$35),Inputs!$B56-Calculations!$C23*(Calculations!$E23-1)+Calculations!$D23,0))</f>
        <v>8542.568047337278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61306</v>
      </c>
      <c r="AA83" s="46">
        <f>SUM(B83:M83)</f>
        <v>61306</v>
      </c>
      <c r="AB83" s="46">
        <f>SUM(B83:Y83)</f>
        <v>61306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9105.994623655915</v>
      </c>
      <c r="C84" s="46">
        <f>IF(Calculations!$E24&gt;COUNT(Output!$B$35:C$35),Calculations!$B24,IF(Calculations!$E24=COUNT(Output!$B$35:C$35),Inputs!$B57-Calculations!$C24*(Calculations!$E24-1)+Calculations!$D24,0))</f>
        <v>4379.672043010752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13485.66666666667</v>
      </c>
      <c r="AA84" s="46">
        <f>SUM(B84:M84)</f>
        <v>13485.66666666667</v>
      </c>
      <c r="AB84" s="46">
        <f>SUM(B84:Y84)</f>
        <v>13485.66666666667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51244.50402111853</v>
      </c>
      <c r="C88" s="19">
        <f>SUM(C72:C82,C66,C60,C54,C48,C42,C36)</f>
        <v>46518.18144047337</v>
      </c>
      <c r="D88" s="19">
        <f>SUM(D72:D82,D66,D60,D54,D48,D42,D36)</f>
        <v>49047.50939746261</v>
      </c>
      <c r="E88" s="19">
        <f>SUM(E72:E82,E66,E60,E54,E48,E42,E36)</f>
        <v>42138.50939746261</v>
      </c>
      <c r="F88" s="19">
        <f>SUM(F72:F82,F66,F60,F54,F48,F42,F36)</f>
        <v>43038.50939746261</v>
      </c>
      <c r="G88" s="19">
        <f>SUM(G72:G82,G66,G60,G54,G48,G42,G36)</f>
        <v>42138.50939746261</v>
      </c>
      <c r="H88" s="19">
        <f>SUM(H72:H82,H66,H60,H54,H48,H42,H36)</f>
        <v>41887.1721193561</v>
      </c>
      <c r="I88" s="19">
        <f>SUM(I72:I82,I66,I60,I54,I48,I42,I36)</f>
        <v>33344.60407201882</v>
      </c>
      <c r="J88" s="19">
        <f>SUM(J72:J82,J66,J60,J54,J48,J42,J36)</f>
        <v>40253.60407201882</v>
      </c>
      <c r="K88" s="19">
        <f>SUM(K72:K82,K66,K60,K54,K48,K42,K36)</f>
        <v>33344.60407201882</v>
      </c>
      <c r="L88" s="19">
        <f>SUM(L72:L82,L66,L60,L54,L48,L42,L36)</f>
        <v>34244.60407201882</v>
      </c>
      <c r="M88" s="19">
        <f>SUM(M72:M82,M66,M60,M54,M48,M42,M36)</f>
        <v>35344.60407201882</v>
      </c>
      <c r="N88" s="19">
        <f>SUM(N72:N82,N66,N60,N54,N48,N42,N36)</f>
        <v>33344.60407201882</v>
      </c>
      <c r="O88" s="19">
        <f>SUM(O72:O82,O66,O60,O54,O48,O42,O36)</f>
        <v>33344.60407201882</v>
      </c>
      <c r="P88" s="19">
        <f>SUM(P72:P82,P66,P60,P54,P48,P42,P36)</f>
        <v>40253.60407201882</v>
      </c>
      <c r="Q88" s="19">
        <f>SUM(Q72:Q82,Q66,Q60,Q54,Q48,Q42,Q36)</f>
        <v>33344.60407201882</v>
      </c>
      <c r="R88" s="19">
        <f>SUM(R72:R82,R66,R60,R54,R48,R42,R36)</f>
        <v>34244.60407201882</v>
      </c>
      <c r="S88" s="19">
        <f>SUM(S72:S82,S66,S60,S54,S48,S42,S36)</f>
        <v>33344.60407201882</v>
      </c>
      <c r="T88" s="19">
        <f>SUM(T72:T82,T66,T60,T54,T48,T42,T36)</f>
        <v>33344.60407201882</v>
      </c>
      <c r="U88" s="19">
        <f>SUM(U72:U82,U66,U60,U54,U48,U42,U36)</f>
        <v>33344.60407201882</v>
      </c>
      <c r="V88" s="19">
        <f>SUM(V72:V82,V66,V60,V54,V48,V42,V36)</f>
        <v>40253.60407201882</v>
      </c>
      <c r="W88" s="19">
        <f>SUM(W72:W82,W66,W60,W54,W48,W42,W36)</f>
        <v>33344.60407201882</v>
      </c>
      <c r="X88" s="19">
        <f>SUM(X72:X82,X66,X60,X54,X48,X42,X36)</f>
        <v>34244.60407201882</v>
      </c>
      <c r="Y88" s="19">
        <f>SUM(Y72:Y82,Y66,Y60,Y54,Y48,Y42,Y36)</f>
        <v>35344.60407201882</v>
      </c>
      <c r="Z88" s="19">
        <f>SUMIF($B$13:$Y$13,"Yes",B88:Y88)</f>
        <v>733766.1440350247</v>
      </c>
      <c r="AA88" s="19">
        <f>SUM(B88:M88)</f>
        <v>492544.9155308926</v>
      </c>
      <c r="AB88" s="19">
        <f>SUM(B88:Y88)</f>
        <v>910298.1643951191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2200</v>
      </c>
    </row>
    <row r="95" spans="1:30">
      <c r="A95" t="s">
        <v>61</v>
      </c>
      <c r="B95" s="36">
        <f>Inputs!B47</f>
        <v>6000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1908200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59575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164575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18000</v>
      </c>
    </row>
    <row r="31" spans="1:48">
      <c r="A31" s="5" t="s">
        <v>119</v>
      </c>
      <c r="B31" s="158">
        <v>6000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450000</v>
      </c>
    </row>
    <row r="46" spans="1:48" customHeight="1" ht="30">
      <c r="A46" s="57" t="s">
        <v>133</v>
      </c>
      <c r="B46" s="161">
        <v>150000</v>
      </c>
    </row>
    <row r="47" spans="1:48" customHeight="1" ht="30">
      <c r="A47" s="57" t="s">
        <v>134</v>
      </c>
      <c r="B47" s="161">
        <v>6000</v>
      </c>
    </row>
    <row r="48" spans="1:48" customHeight="1" ht="30">
      <c r="A48" s="57" t="s">
        <v>135</v>
      </c>
      <c r="B48" s="161">
        <v>100000</v>
      </c>
    </row>
    <row r="49" spans="1:48" customHeight="1" ht="30">
      <c r="A49" s="57" t="s">
        <v>136</v>
      </c>
      <c r="B49" s="161">
        <v>2200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90000</v>
      </c>
      <c r="B56" s="159">
        <v>49756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100000</v>
      </c>
      <c r="B57" s="157">
        <v>9819</v>
      </c>
      <c r="C57" s="164" t="s">
        <v>148</v>
      </c>
      <c r="D57" s="165" t="s">
        <v>149</v>
      </c>
      <c r="E57" s="165" t="s">
        <v>150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153</v>
      </c>
      <c r="C65" s="10" t="s">
        <v>154</v>
      </c>
    </row>
    <row r="66" spans="1:48">
      <c r="A66" s="142" t="s">
        <v>155</v>
      </c>
      <c r="B66" s="159">
        <v>204312</v>
      </c>
      <c r="C66" s="163">
        <v>201768</v>
      </c>
      <c r="D66" s="49">
        <f>INDEX(Parameters!$D$79:$D$90,MATCH(Inputs!A66,Parameters!$C$79:$C$90,0))</f>
        <v>8</v>
      </c>
    </row>
    <row r="67" spans="1:48">
      <c r="A67" s="143" t="s">
        <v>156</v>
      </c>
      <c r="B67" s="157">
        <v>201377</v>
      </c>
      <c r="C67" s="165">
        <v>206849</v>
      </c>
      <c r="D67" s="49">
        <f>INDEX(Parameters!$D$79:$D$90,MATCH(Inputs!A67,Parameters!$C$79:$C$90,0))</f>
        <v>9</v>
      </c>
    </row>
    <row r="68" spans="1:48">
      <c r="A68" s="143" t="s">
        <v>157</v>
      </c>
      <c r="B68" s="157">
        <v>202431</v>
      </c>
      <c r="C68" s="165">
        <v>197380</v>
      </c>
      <c r="D68" s="49">
        <f>INDEX(Parameters!$D$79:$D$90,MATCH(Inputs!A68,Parameters!$C$79:$C$90,0))</f>
        <v>10</v>
      </c>
    </row>
    <row r="69" spans="1:48">
      <c r="A69" s="143" t="s">
        <v>158</v>
      </c>
      <c r="B69" s="157">
        <v>213897</v>
      </c>
      <c r="C69" s="165">
        <v>201846</v>
      </c>
      <c r="D69" s="49">
        <f>INDEX(Parameters!$D$79:$D$90,MATCH(Inputs!A69,Parameters!$C$79:$C$90,0))</f>
        <v>11</v>
      </c>
    </row>
    <row r="70" spans="1:48">
      <c r="A70" s="143" t="s">
        <v>159</v>
      </c>
      <c r="B70" s="157">
        <v>206132</v>
      </c>
      <c r="C70" s="165">
        <v>198357</v>
      </c>
      <c r="D70" s="49">
        <f>INDEX(Parameters!$D$79:$D$90,MATCH(Inputs!A70,Parameters!$C$79:$C$90,0))</f>
        <v>12</v>
      </c>
    </row>
    <row r="71" spans="1:48">
      <c r="A71" s="144" t="s">
        <v>94</v>
      </c>
      <c r="B71" s="158">
        <v>201387</v>
      </c>
      <c r="C71" s="167">
        <v>203495</v>
      </c>
      <c r="D71" s="49">
        <f>INDEX(Parameters!$D$79:$D$90,MATCH(Inputs!A71,Parameters!$C$79:$C$90,0))</f>
        <v>1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18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100000</v>
      </c>
    </row>
    <row r="82" spans="1:48">
      <c r="A82" t="s">
        <v>170</v>
      </c>
      <c r="B82" s="161">
        <v>18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18</v>
      </c>
    </row>
    <row r="86" spans="1:48">
      <c r="A86" t="s">
        <v>175</v>
      </c>
      <c r="B86" s="161">
        <v>5</v>
      </c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151644.51057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42887</v>
      </c>
      <c r="D5" s="39">
        <f>IFERROR(DATE(YEAR(B5),MONTH(B5)+T5,DAY(B5)),"")</f>
        <v>42948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43132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2848.85215848055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107686.6115905648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90000</v>
      </c>
      <c r="B23" s="75">
        <f>SUM(C23:D23)</f>
        <v>8793.905325443786</v>
      </c>
      <c r="C23" s="75">
        <f>IF(Inputs!B56&gt;0,(Inputs!A56-Inputs!B56)/(DATE(YEAR(Inputs!$B$76),MONTH(Inputs!$B$76),DAY(Inputs!$B$76))-DATE(YEAR(Inputs!C56),MONTH(Inputs!C56),DAY(Inputs!C56)))*30,0)</f>
        <v>7143.905325443787</v>
      </c>
      <c r="D23" s="75">
        <f>IF(Inputs!B56&gt;0,Inputs!A56*0.22/12,0)</f>
        <v>1650</v>
      </c>
      <c r="E23" s="75">
        <f>IFERROR(ROUNDUP(Inputs!B56/C23,0),0)</f>
        <v>7</v>
      </c>
    </row>
    <row r="24" spans="1:52">
      <c r="A24" s="46">
        <f>Inputs!A57</f>
        <v>100000</v>
      </c>
      <c r="B24" s="46">
        <f>SUM(C24:D24)</f>
        <v>9105.994623655915</v>
      </c>
      <c r="C24" s="46">
        <f>IF(Inputs!B57&gt;0,(Inputs!A57-Inputs!B57)/(DATE(YEAR(Inputs!$B$76),MONTH(Inputs!$B$76),DAY(Inputs!$B$76))-DATE(YEAR(Inputs!C57),MONTH(Inputs!C57),DAY(Inputs!C57)))*30,0)</f>
        <v>7272.661290322581</v>
      </c>
      <c r="D24" s="46">
        <f>IF(Inputs!B57&gt;0,Inputs!A57*0.22/12,0)</f>
        <v>1833.333333333333</v>
      </c>
      <c r="E24" s="46">
        <f>IFERROR(ROUNDUP(Inputs!B57/B24,0),0)</f>
        <v>2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42810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165</v>
      </c>
      <c r="G33" s="128">
        <f>IF(Inputs!B79="","",DATE(YEAR(Inputs!B79),MONTH(Inputs!B79),DAY(Inputs!B79)))</f>
        <v>42779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42841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167</v>
      </c>
      <c r="G34" s="128">
        <f>IF(Inputs!B80="","",DATE(YEAR(Inputs!B80),MONTH(Inputs!B80),DAY(Inputs!B80)))</f>
        <v>42810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42871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169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42902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170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42932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42963</v>
      </c>
      <c r="C38" s="27">
        <f>IF(B38&lt;&gt;"",IF(COUNT($A$33:A38)&lt;=$G$39,0,$G$41)+IF(COUNT($A$33:A38)&lt;=$G$40,0,$G$42),0)</f>
        <v>9192.307692307691</v>
      </c>
      <c r="D38" s="170">
        <f>IFERROR(DATE(YEAR(B38),MONTH(B38),1)," ")</f>
        <v>42948</v>
      </c>
      <c r="F38" t="s">
        <v>232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42994</v>
      </c>
      <c r="C39" s="27">
        <f>IF(B39&lt;&gt;"",IF(COUNT($A$33:A39)&lt;=$G$39,0,$G$41)+IF(COUNT($A$33:A39)&lt;=$G$40,0,$G$42),0)</f>
        <v>9192.307692307691</v>
      </c>
      <c r="D39" s="170">
        <f>IFERROR(DATE(YEAR(B39),MONTH(B39),1)," ")</f>
        <v>42979</v>
      </c>
      <c r="F39" t="s">
        <v>175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43024</v>
      </c>
      <c r="C40" s="27">
        <f>IF(B40&lt;&gt;"",IF(COUNT($A$33:A40)&lt;=$G$39,0,$G$41)+IF(COUNT($A$33:A40)&lt;=$G$40,0,$G$42),0)</f>
        <v>9192.307692307691</v>
      </c>
      <c r="D40" s="170">
        <f>IFERROR(DATE(YEAR(B40),MONTH(B40),1)," ")</f>
        <v>43009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43055</v>
      </c>
      <c r="C41" s="27">
        <f>IF(B41&lt;&gt;"",IF(COUNT($A$33:A41)&lt;=$G$39,0,$G$41)+IF(COUNT($A$33:A41)&lt;=$G$40,0,$G$42),0)</f>
        <v>9192.307692307691</v>
      </c>
      <c r="D41" s="170">
        <f>IFERROR(DATE(YEAR(B41),MONTH(B41),1)," ")</f>
        <v>43040</v>
      </c>
      <c r="F41" t="s">
        <v>233</v>
      </c>
      <c r="G41" s="73">
        <f>IFERROR(G35/(G38-G39),"")</f>
        <v>7692.307692307692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43085</v>
      </c>
      <c r="C42" s="27">
        <f>IF(B42&lt;&gt;"",IF(COUNT($A$33:A42)&lt;=$G$39,0,$G$41)+IF(COUNT($A$33:A42)&lt;=$G$40,0,$G$42),0)</f>
        <v>9192.307692307691</v>
      </c>
      <c r="D42" s="170">
        <f>IFERROR(DATE(YEAR(B42),MONTH(B42),1)," ")</f>
        <v>43070</v>
      </c>
      <c r="F42" t="s">
        <v>234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43116</v>
      </c>
      <c r="C43" s="27">
        <f>IF(B43&lt;&gt;"",IF(COUNT($A$33:A43)&lt;=$G$39,0,$G$41)+IF(COUNT($A$33:A43)&lt;=$G$40,0,$G$42),0)</f>
        <v>9192.307692307691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43147</v>
      </c>
      <c r="C44" s="27">
        <f>IF(B44&lt;&gt;"",IF(COUNT($A$33:A44)&lt;=$G$39,0,$G$41)+IF(COUNT($A$33:A44)&lt;=$G$40,0,$G$42),0)</f>
        <v>9192.307692307691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43175</v>
      </c>
      <c r="C45" s="27">
        <f>IF(B45&lt;&gt;"",IF(COUNT($A$33:A45)&lt;=$G$39,0,$G$41)+IF(COUNT($A$33:A45)&lt;=$G$40,0,$G$42),0)</f>
        <v>9192.307692307691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43206</v>
      </c>
      <c r="C46" s="27">
        <f>IF(B46&lt;&gt;"",IF(COUNT($A$33:A46)&lt;=$G$39,0,$G$41)+IF(COUNT($A$33:A46)&lt;=$G$40,0,$G$42),0)</f>
        <v>9192.307692307691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43236</v>
      </c>
      <c r="C47" s="27">
        <f>IF(B47&lt;&gt;"",IF(COUNT($A$33:A47)&lt;=$G$39,0,$G$41)+IF(COUNT($A$33:A47)&lt;=$G$40,0,$G$42),0)</f>
        <v>9192.307692307691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43267</v>
      </c>
      <c r="C48" s="27">
        <f>IF(B48&lt;&gt;"",IF(COUNT($A$33:A48)&lt;=$G$39,0,$G$41)+IF(COUNT($A$33:A48)&lt;=$G$40,0,$G$42),0)</f>
        <v>9192.307692307691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43297</v>
      </c>
      <c r="C49" s="27">
        <f>IF(B49&lt;&gt;"",IF(COUNT($A$33:A49)&lt;=$G$39,0,$G$41)+IF(COUNT($A$33:A49)&lt;=$G$40,0,$G$42),0)</f>
        <v>9192.307692307691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43328</v>
      </c>
      <c r="C50" s="27">
        <f>IF(B50&lt;&gt;"",IF(COUNT($A$33:A50)&lt;=$G$39,0,$G$41)+IF(COUNT($A$33:A50)&lt;=$G$40,0,$G$42),0)</f>
        <v>9192.307692307691</v>
      </c>
      <c r="D50" s="170">
        <f>IFERROR(DATE(YEAR(B50),MONTH(B50),1)," ")</f>
        <v>43313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99</v>
      </c>
      <c r="B41" s="191" t="s">
        <v>150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319</v>
      </c>
      <c r="H52" s="12" t="s">
        <v>130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150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150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150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150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150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150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150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150</v>
      </c>
      <c r="F77" s="12" t="s">
        <v>150</v>
      </c>
      <c r="G77" s="12" t="s">
        <v>355</v>
      </c>
      <c r="H77" s="12" t="s">
        <v>130</v>
      </c>
      <c r="I77" s="12" t="s">
        <v>356</v>
      </c>
      <c r="J77" s="136" t="s">
        <v>90</v>
      </c>
      <c r="K77" s="12" t="s">
        <v>150</v>
      </c>
      <c r="AJ77" s="12"/>
    </row>
    <row r="78" spans="1:36">
      <c r="A78" t="s">
        <v>150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112</v>
      </c>
      <c r="H78" s="12" t="s">
        <v>320</v>
      </c>
      <c r="I78" s="12" t="s">
        <v>360</v>
      </c>
      <c r="J78" s="70" t="s">
        <v>361</v>
      </c>
      <c r="K78" s="12" t="s">
        <v>150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172</v>
      </c>
      <c r="J79" s="70" t="s">
        <v>365</v>
      </c>
      <c r="K79" s="12" t="s">
        <v>150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93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