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<sst xmlns="http://schemas.openxmlformats.org/spreadsheetml/2006/main" uniqueCount="371">
  <si>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</si>
  <si>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</si>
  <si>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</si>
  <si>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</si>
  <si>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</si>
  <si>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</si>
  <si>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</si>
  <si>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</si>
  <si>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</si>
  <si>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</si>
  <si>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</si>
  <si>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</si>
  <si>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</si>
  <si>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</si>
  <si>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</si>
  <si>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</si>
  <si>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</si>
  <si>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</si>
  <si>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</si>
  <si>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</si>
  <si>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</si>
  <si>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</si>
  <si>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</si>
  <si>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</si>
  <si>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</si>
  <si>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</si>
  <si>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</si>
  <si>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</si>
  <si>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</si>
  <si>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</si>
  <si>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</si>
  <si>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</si>
  <si>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</si>
  <si>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</si>
  <si>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</si>
  <si>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</si>
  <si>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</si>
  <si>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</si>
  <si>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</si>
  <si>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</si>
  <si>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</si>
  <si>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</si>
  <si>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</si>
  <si>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</si>
  <si>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</si>
  <si>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</si>
  <si>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</si>
  <si>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</si>
  <si>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</si>
  <si>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</si>
  <si>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</si>
  <si>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</si>
  <si>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</si>
  <si>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</si>
  <si>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</si>
  <si>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</si>
  <si>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</si>
  <si>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</si>
  <si>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</si>
  <si>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</si>
  <si>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</si>
  <si>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</si>
  <si>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</si>
  <si>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</si>
  <si>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</si>
  <si>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</si>
  <si>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</si>
  <si>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</si>
  <si>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</si>
  <si>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</si>
  <si>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</si>
  <si>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</si>
  <si>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</si>
  <si>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</si>
  <si>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</si>
  <si>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</si>
  <si>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</si>
  <si>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</si>
  <si>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</si>
  <si>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</si>
  <si>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</si>
  <si>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</si>
  <si>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</si>
  <si>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</si>
  <si>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</si>
  <si>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</si>
  <si>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</si>
  <si>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</si>
  <si>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</si>
  <si>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</si>
  <si>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</si>
  <si>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</si>
  <si>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</si>
  <si>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</si>
  <si>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</si>
  <si>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</si>
  <si>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</si>
  <si>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</si>
  <si>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</si>
  <si>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</si>
  <si>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</si>
  <si>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</si>
  <si>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</si>
  <si>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</si>
  <si>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</si>
  <si>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</si>
  <si>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</si>
  <si>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</si>
  <si>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</si>
  <si>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</si>
  <si>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</si>
  <si>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</si>
  <si>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</si>
  <si>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</si>
  <si>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</si>
  <si>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</si>
  <si>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</si>
  <si>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</si>
  <si>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</si>
  <si>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</si>
  <si>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</si>
  <si>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</si>
  <si>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</si>
  <si>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</si>
  <si>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</si>
  <si>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</si>
  <si>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</si>
  <si>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</si>
  <si>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</si>
  <si>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</si>
  <si>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</si>
  <si>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</si>
  <si>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</si>
  <si>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</si>
  <si>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</si>
  <si>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4/14/2016</t>
  </si>
  <si>
    <t>Musoni</t>
  </si>
  <si>
    <t>good loan repayment history</t>
  </si>
  <si>
    <t>5/6/2015</t>
  </si>
  <si>
    <t>mobile</t>
  </si>
  <si>
    <t>Average loan repayment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</si>
  <si>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</si>
  <si>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</si>
  <si>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</si>
  <si>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</si>
  <si>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</si>
  <si>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</si>
  <si>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</si>
  <si>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</si>
  <si>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July</t>
  </si>
  <si>
    <t>Loan info</t>
  </si>
  <si>
    <t>Branch ID</t>
  </si>
  <si>
    <t>Submission date</t>
  </si>
  <si>
    <t>2017/2/15</t>
  </si>
  <si>
    <t>Loan terms</t>
  </si>
  <si>
    <t>Expected disbursement date</t>
  </si>
  <si>
    <t>Expected first repayment date</t>
  </si>
  <si>
    <t>2017/3/15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</si>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</sst>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1.18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0.2958579881656805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23678.57142857143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51650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20000</v>
      </c>
      <c r="C7" s="80">
        <f>IF(ISERROR(VLOOKUP(MONTH(C5),Inputs!$D$66:$D$71,1,0)),"",INDEX(Inputs!$B$66:$B$71,MATCH(MONTH(Output!C5),Inputs!$D$66:$D$71,0))-INDEX(Inputs!$C$66:$C$71,MATCH(MONTH(Output!C5),Inputs!$D$66:$D$71,0)))</f>
        <v>25000</v>
      </c>
      <c r="D7" s="80">
        <f>IF(ISERROR(VLOOKUP(MONTH(D5),Inputs!$D$66:$D$71,1,0)),"",INDEX(Inputs!$B$66:$B$71,MATCH(MONTH(Output!D5),Inputs!$D$66:$D$71,0))-INDEX(Inputs!$C$66:$C$71,MATCH(MONTH(Output!D5),Inputs!$D$66:$D$71,0)))</f>
        <v>20000</v>
      </c>
      <c r="E7" s="80">
        <f>IF(ISERROR(VLOOKUP(MONTH(E5),Inputs!$D$66:$D$71,1,0)),"",INDEX(Inputs!$B$66:$B$71,MATCH(MONTH(Output!E5),Inputs!$D$66:$D$71,0))-INDEX(Inputs!$C$66:$C$71,MATCH(MONTH(Output!E5),Inputs!$D$66:$D$71,0)))</f>
        <v>30000</v>
      </c>
      <c r="F7" s="80">
        <f>IF(ISERROR(VLOOKUP(MONTH(F5),Inputs!$D$66:$D$71,1,0)),"",INDEX(Inputs!$B$66:$B$71,MATCH(MONTH(Output!F5),Inputs!$D$66:$D$71,0))-INDEX(Inputs!$C$66:$C$71,MATCH(MONTH(Output!F5),Inputs!$D$66:$D$71,0)))</f>
        <v>15000</v>
      </c>
      <c r="G7" s="80">
        <f>IF(ISERROR(VLOOKUP(MONTH(G5),Inputs!$D$66:$D$71,1,0)),"",INDEX(Inputs!$B$66:$B$71,MATCH(MONTH(Output!G5),Inputs!$D$66:$D$71,0))-INDEX(Inputs!$C$66:$C$71,MATCH(MONTH(Output!G5),Inputs!$D$66:$D$71,0)))</f>
        <v>50000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20000</v>
      </c>
      <c r="O7" s="80">
        <f>IF(ISERROR(VLOOKUP(MONTH(O5),Inputs!$D$66:$D$71,1,0)),"",INDEX(Inputs!$B$66:$B$71,MATCH(MONTH(Output!O5),Inputs!$D$66:$D$71,0))-INDEX(Inputs!$C$66:$C$71,MATCH(MONTH(Output!O5),Inputs!$D$66:$D$71,0)))</f>
        <v>25000</v>
      </c>
      <c r="P7" s="80">
        <f>IF(ISERROR(VLOOKUP(MONTH(P5),Inputs!$D$66:$D$71,1,0)),"",INDEX(Inputs!$B$66:$B$71,MATCH(MONTH(Output!P5),Inputs!$D$66:$D$71,0))-INDEX(Inputs!$C$66:$C$71,MATCH(MONTH(Output!P5),Inputs!$D$66:$D$71,0)))</f>
        <v>20000</v>
      </c>
      <c r="Q7" s="80">
        <f>IF(ISERROR(VLOOKUP(MONTH(Q5),Inputs!$D$66:$D$71,1,0)),"",INDEX(Inputs!$B$66:$B$71,MATCH(MONTH(Output!Q5),Inputs!$D$66:$D$71,0))-INDEX(Inputs!$C$66:$C$71,MATCH(MONTH(Output!Q5),Inputs!$D$66:$D$71,0)))</f>
        <v>30000</v>
      </c>
      <c r="R7" s="80">
        <f>IF(ISERROR(VLOOKUP(MONTH(R5),Inputs!$D$66:$D$71,1,0)),"",INDEX(Inputs!$B$66:$B$71,MATCH(MONTH(Output!R5),Inputs!$D$66:$D$71,0))-INDEX(Inputs!$C$66:$C$71,MATCH(MONTH(Output!R5),Inputs!$D$66:$D$71,0)))</f>
        <v>15000</v>
      </c>
      <c r="S7" s="80">
        <f>IF(ISERROR(VLOOKUP(MONTH(S5),Inputs!$D$66:$D$71,1,0)),"",INDEX(Inputs!$B$66:$B$71,MATCH(MONTH(Output!S5),Inputs!$D$66:$D$71,0))-INDEX(Inputs!$C$66:$C$71,MATCH(MONTH(Output!S5),Inputs!$D$66:$D$71,0)))</f>
        <v>50000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2250</v>
      </c>
      <c r="D10" s="37">
        <f>SUMPRODUCT((Calculations!$D$33:$D$84=Output!D5)+0,Calculations!$C$33:$C$84)</f>
        <v>2250</v>
      </c>
      <c r="E10" s="37">
        <f>SUMPRODUCT((Calculations!$D$33:$D$84=Output!E5)+0,Calculations!$C$33:$C$84)</f>
        <v>2250</v>
      </c>
      <c r="F10" s="37">
        <f>SUMPRODUCT((Calculations!$D$33:$D$84=Output!F5)+0,Calculations!$C$33:$C$84)</f>
        <v>2250</v>
      </c>
      <c r="G10" s="37">
        <f>SUMPRODUCT((Calculations!$D$33:$D$84=Output!G5)+0,Calculations!$C$33:$C$84)</f>
        <v>2250</v>
      </c>
      <c r="H10" s="37">
        <f>SUMPRODUCT((Calculations!$D$33:$D$84=Output!H5)+0,Calculations!$C$33:$C$84)</f>
        <v>23678.57142857143</v>
      </c>
      <c r="I10" s="37">
        <f>SUMPRODUCT((Calculations!$D$33:$D$84=Output!I5)+0,Calculations!$C$33:$C$84)</f>
        <v>23678.57142857143</v>
      </c>
      <c r="J10" s="37">
        <f>SUMPRODUCT((Calculations!$D$33:$D$84=Output!J5)+0,Calculations!$C$33:$C$84)</f>
        <v>23678.57142857143</v>
      </c>
      <c r="K10" s="37">
        <f>SUMPRODUCT((Calculations!$D$33:$D$84=Output!K5)+0,Calculations!$C$33:$C$84)</f>
        <v>23678.57142857143</v>
      </c>
      <c r="L10" s="37">
        <f>SUMPRODUCT((Calculations!$D$33:$D$84=Output!L5)+0,Calculations!$C$33:$C$84)</f>
        <v>23678.57142857143</v>
      </c>
      <c r="M10" s="37">
        <f>SUMPRODUCT((Calculations!$D$33:$D$84=Output!M5)+0,Calculations!$C$33:$C$84)</f>
        <v>23678.57142857143</v>
      </c>
      <c r="N10" s="37">
        <f>SUMPRODUCT((Calculations!$D$33:$D$84=Output!N5)+0,Calculations!$C$33:$C$84)</f>
        <v>23678.57142857143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153321.4285714286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150000</v>
      </c>
      <c r="C11" s="80">
        <f>C6+C9-C10</f>
        <v>-2250</v>
      </c>
      <c r="D11" s="80">
        <f>D6+D9-D10</f>
        <v>-2250</v>
      </c>
      <c r="E11" s="80">
        <f>E6+E9-E10</f>
        <v>-2250</v>
      </c>
      <c r="F11" s="80">
        <f>F6+F9-F10</f>
        <v>-2250</v>
      </c>
      <c r="G11" s="80">
        <f>G6+G9-G10</f>
        <v>-2250</v>
      </c>
      <c r="H11" s="80">
        <f>H6+H9-H10</f>
        <v>-23678.57142857143</v>
      </c>
      <c r="I11" s="80">
        <f>I6+I9-I10</f>
        <v>-23678.57142857143</v>
      </c>
      <c r="J11" s="80">
        <f>J6+J9-J10</f>
        <v>-23678.57142857143</v>
      </c>
      <c r="K11" s="80">
        <f>K6+K9-K10</f>
        <v>-23678.57142857143</v>
      </c>
      <c r="L11" s="80">
        <f>L6+L9-L10</f>
        <v>-23678.57142857143</v>
      </c>
      <c r="M11" s="80">
        <f>M6+M9-M10</f>
        <v>-23678.57142857143</v>
      </c>
      <c r="N11" s="80">
        <f>N6+N9-N10</f>
        <v>-23678.57142857143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-26999.99999999997</v>
      </c>
      <c r="AA11" s="80">
        <f>SUM(B11:M11)</f>
        <v>-3321.428571428543</v>
      </c>
      <c r="AB11" s="46">
        <f>SUM(B11:Y11)</f>
        <v>-26999.99999999997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0.015</v>
      </c>
      <c r="D12" s="82">
        <f>IF(D13="Yes",IF(SUM($B$10:D10)/(SUM($B$6:D6)+SUM($B$9:D9))&lt;0,999.99,SUM($B$10:D10)/(SUM($B$6:D6)+SUM($B$9:D9))),"")</f>
        <v>0.03</v>
      </c>
      <c r="E12" s="82">
        <f>IF(E13="Yes",IF(SUM($B$10:E10)/(SUM($B$6:E6)+SUM($B$9:E9))&lt;0,999.99,SUM($B$10:E10)/(SUM($B$6:E6)+SUM($B$9:E9))),"")</f>
        <v>0.045</v>
      </c>
      <c r="F12" s="82">
        <f>IF(F13="Yes",IF(SUM($B$10:F10)/(SUM($B$6:F6)+SUM($B$9:F9))&lt;0,999.99,SUM($B$10:F10)/(SUM($B$6:F6)+SUM($B$9:F9))),"")</f>
        <v>0.06</v>
      </c>
      <c r="G12" s="82">
        <f>IF(G13="Yes",IF(SUM($B$10:G10)/(SUM($B$6:G6)+SUM($B$9:G9))&lt;0,999.99,SUM($B$10:G10)/(SUM($B$6:G6)+SUM($B$9:G9))),"")</f>
        <v>0.075</v>
      </c>
      <c r="H12" s="82">
        <f>IF(H13="Yes",IF(SUM($B$10:H10)/(SUM($B$6:H6)+SUM($B$9:H9))&lt;0,999.99,SUM($B$10:H10)/(SUM($B$6:H6)+SUM($B$9:H9))),"")</f>
        <v>0.2328571428571428</v>
      </c>
      <c r="I12" s="82">
        <f>IF(I13="Yes",IF(SUM($B$10:I10)/(SUM($B$6:I6)+SUM($B$9:I9))&lt;0,999.99,SUM($B$10:I10)/(SUM($B$6:I6)+SUM($B$9:I9))),"")</f>
        <v>0.3907142857142857</v>
      </c>
      <c r="J12" s="82">
        <f>IF(J13="Yes",IF(SUM($B$10:J10)/(SUM($B$6:J6)+SUM($B$9:J9))&lt;0,999.99,SUM($B$10:J10)/(SUM($B$6:J6)+SUM($B$9:J9))),"")</f>
        <v>0.5485714285714286</v>
      </c>
      <c r="K12" s="82">
        <f>IF(K13="Yes",IF(SUM($B$10:K10)/(SUM($B$6:K6)+SUM($B$9:K9))&lt;0,999.99,SUM($B$10:K10)/(SUM($B$6:K6)+SUM($B$9:K9))),"")</f>
        <v>0.7064285714285714</v>
      </c>
      <c r="L12" s="82">
        <f>IF(L13="Yes",IF(SUM($B$10:L10)/(SUM($B$6:L6)+SUM($B$9:L9))&lt;0,999.99,SUM($B$10:L10)/(SUM($B$6:L6)+SUM($B$9:L9))),"")</f>
        <v>0.8642857142857142</v>
      </c>
      <c r="M12" s="82">
        <f>IF(M13="Yes",IF(SUM($B$10:M10)/(SUM($B$6:M6)+SUM($B$9:M9))&lt;0,999.99,SUM($B$10:M10)/(SUM($B$6:M6)+SUM($B$9:M9))),"")</f>
        <v>1.022142857142857</v>
      </c>
      <c r="N12" s="82">
        <f>IF(N13="Yes",IF(SUM($B$10:N10)/(SUM($B$6:N6)+SUM($B$9:N9))&lt;0,999.99,SUM($B$10:N10)/(SUM($B$6:N6)+SUM($B$9:N9))),"")</f>
        <v>1.18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12000</v>
      </c>
    </row>
    <row r="100" spans="1:30" customHeight="1" ht="15.75">
      <c r="A100" s="18" t="s">
        <v>66</v>
      </c>
      <c r="B100" s="37">
        <f>Inputs!B48</f>
        <v>180000</v>
      </c>
    </row>
    <row r="101" spans="1:30" customHeight="1" ht="15.75">
      <c r="A101" s="1" t="s">
        <v>67</v>
      </c>
      <c r="B101" s="19">
        <f>SUM(B94:B100)</f>
        <v>507000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60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0</v>
      </c>
    </row>
    <row r="31" spans="1:48">
      <c r="A31" s="5" t="s">
        <v>108</v>
      </c>
      <c r="B31" s="158">
        <v>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/>
    </row>
    <row r="42" spans="1:48">
      <c r="A42" s="55" t="s">
        <v>118</v>
      </c>
      <c r="B42" s="139"/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116</v>
      </c>
    </row>
    <row r="45" spans="1:48">
      <c r="A45" s="56" t="s">
        <v>122</v>
      </c>
      <c r="B45" s="161">
        <v>250000</v>
      </c>
    </row>
    <row r="46" spans="1:48" customHeight="1" ht="30">
      <c r="A46" s="57" t="s">
        <v>123</v>
      </c>
      <c r="B46" s="161">
        <v>12000</v>
      </c>
    </row>
    <row r="47" spans="1:48" customHeight="1" ht="30">
      <c r="A47" s="57" t="s">
        <v>124</v>
      </c>
      <c r="B47" s="161">
        <v>50000</v>
      </c>
    </row>
    <row r="48" spans="1:48" customHeight="1" ht="30">
      <c r="A48" s="57" t="s">
        <v>125</v>
      </c>
      <c r="B48" s="161">
        <v>180000</v>
      </c>
    </row>
    <row r="49" spans="1:48" customHeight="1" ht="30">
      <c r="A49" s="57" t="s">
        <v>126</v>
      </c>
      <c r="B49" s="161">
        <v>15000</v>
      </c>
    </row>
    <row r="50" spans="1:48">
      <c r="A50" s="43"/>
      <c r="B50" s="36"/>
    </row>
    <row r="51" spans="1:48">
      <c r="A51" s="58" t="s">
        <v>127</v>
      </c>
      <c r="B51" s="161">
        <v>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>
        <v>100000</v>
      </c>
      <c r="B56" s="159">
        <v>0</v>
      </c>
      <c r="C56" s="162" t="s">
        <v>135</v>
      </c>
      <c r="D56" s="163" t="s">
        <v>136</v>
      </c>
      <c r="E56" s="163" t="s">
        <v>116</v>
      </c>
      <c r="F56" s="163" t="s">
        <v>137</v>
      </c>
    </row>
    <row r="57" spans="1:48">
      <c r="A57" s="157">
        <v>3300</v>
      </c>
      <c r="B57" s="157">
        <v>0</v>
      </c>
      <c r="C57" s="164" t="s">
        <v>138</v>
      </c>
      <c r="D57" s="165" t="s">
        <v>139</v>
      </c>
      <c r="E57" s="165" t="s">
        <v>116</v>
      </c>
      <c r="F57" s="165" t="s">
        <v>140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142</v>
      </c>
      <c r="C65" s="10" t="s">
        <v>143</v>
      </c>
    </row>
    <row r="66" spans="1:48">
      <c r="A66" s="142" t="s">
        <v>144</v>
      </c>
      <c r="B66" s="159">
        <v>150000</v>
      </c>
      <c r="C66" s="163">
        <v>130000</v>
      </c>
      <c r="D66" s="49">
        <f>INDEX(Parameters!$D$79:$D$90,MATCH(Inputs!A66,Parameters!$C$79:$C$90,0))</f>
        <v>2</v>
      </c>
    </row>
    <row r="67" spans="1:48">
      <c r="A67" s="143" t="s">
        <v>145</v>
      </c>
      <c r="B67" s="157">
        <v>120000</v>
      </c>
      <c r="C67" s="165">
        <v>95000</v>
      </c>
      <c r="D67" s="49">
        <f>INDEX(Parameters!$D$79:$D$90,MATCH(Inputs!A67,Parameters!$C$79:$C$90,0))</f>
        <v>3</v>
      </c>
    </row>
    <row r="68" spans="1:48">
      <c r="A68" s="143" t="s">
        <v>146</v>
      </c>
      <c r="B68" s="157">
        <v>80000</v>
      </c>
      <c r="C68" s="165">
        <v>60000</v>
      </c>
      <c r="D68" s="49">
        <f>INDEX(Parameters!$D$79:$D$90,MATCH(Inputs!A68,Parameters!$C$79:$C$90,0))</f>
        <v>4</v>
      </c>
    </row>
    <row r="69" spans="1:48">
      <c r="A69" s="143" t="s">
        <v>147</v>
      </c>
      <c r="B69" s="157">
        <v>150000</v>
      </c>
      <c r="C69" s="165">
        <v>120000</v>
      </c>
      <c r="D69" s="49">
        <f>INDEX(Parameters!$D$79:$D$90,MATCH(Inputs!A69,Parameters!$C$79:$C$90,0))</f>
        <v>5</v>
      </c>
    </row>
    <row r="70" spans="1:48">
      <c r="A70" s="143" t="s">
        <v>148</v>
      </c>
      <c r="B70" s="157">
        <v>150000</v>
      </c>
      <c r="C70" s="165">
        <v>135000</v>
      </c>
      <c r="D70" s="49">
        <f>INDEX(Parameters!$D$79:$D$90,MATCH(Inputs!A70,Parameters!$C$79:$C$90,0))</f>
        <v>6</v>
      </c>
    </row>
    <row r="71" spans="1:48">
      <c r="A71" s="144" t="s">
        <v>149</v>
      </c>
      <c r="B71" s="158">
        <v>200000</v>
      </c>
      <c r="C71" s="167">
        <v>150000</v>
      </c>
      <c r="D71" s="49">
        <f>INDEX(Parameters!$D$79:$D$90,MATCH(Inputs!A71,Parameters!$C$79:$C$90,0))</f>
        <v>7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15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150000</v>
      </c>
    </row>
    <row r="82" spans="1:48">
      <c r="A82" t="s">
        <v>159</v>
      </c>
      <c r="B82" s="161">
        <v>18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>
        <v>5</v>
      </c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3300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42809</v>
      </c>
      <c r="C33" s="27">
        <f>IF(B33&lt;&gt;"",IF(COUNT($A$33:A33)&lt;=$G$39,0,$G$41)+IF(COUNT($A$33:A33)&lt;=$G$40,0,$G$42),0)</f>
        <v>2250</v>
      </c>
      <c r="D33" s="170">
        <f>IFERROR(DATE(YEAR(B33),MONTH(B33),1)," ")</f>
        <v>42795</v>
      </c>
      <c r="F33" t="s">
        <v>155</v>
      </c>
      <c r="G33" s="128">
        <f>IF(Inputs!B79="","",DATE(YEAR(Inputs!B79),MONTH(Inputs!B79),DAY(Inputs!B79)))</f>
        <v>42781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42840</v>
      </c>
      <c r="C34" s="27">
        <f>IF(B34&lt;&gt;"",IF(COUNT($A$33:A34)&lt;=$G$39,0,$G$41)+IF(COUNT($A$33:A34)&lt;=$G$40,0,$G$42),0)</f>
        <v>2250</v>
      </c>
      <c r="D34" s="170">
        <f>IFERROR(DATE(YEAR(B34),MONTH(B34),1)," ")</f>
        <v>42826</v>
      </c>
      <c r="F34" t="s">
        <v>156</v>
      </c>
      <c r="G34" s="128">
        <f>IF(Inputs!B80="","",DATE(YEAR(Inputs!B80),MONTH(Inputs!B80),DAY(Inputs!B80)))</f>
        <v>42809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42870</v>
      </c>
      <c r="C35" s="27">
        <f>IF(B35&lt;&gt;"",IF(COUNT($A$33:A35)&lt;=$G$39,0,$G$41)+IF(COUNT($A$33:A35)&lt;=$G$40,0,$G$42),0)</f>
        <v>2250</v>
      </c>
      <c r="D35" s="170">
        <f>IFERROR(DATE(YEAR(B35),MONTH(B35),1)," ")</f>
        <v>42856</v>
      </c>
      <c r="F35" t="s">
        <v>158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42901</v>
      </c>
      <c r="C36" s="27">
        <f>IF(B36&lt;&gt;"",IF(COUNT($A$33:A36)&lt;=$G$39,0,$G$41)+IF(COUNT($A$33:A36)&lt;=$G$40,0,$G$42),0)</f>
        <v>2250</v>
      </c>
      <c r="D36" s="170">
        <f>IFERROR(DATE(YEAR(B36),MONTH(B36),1)," ")</f>
        <v>42887</v>
      </c>
      <c r="F36" t="s">
        <v>159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42931</v>
      </c>
      <c r="C37" s="27">
        <f>IF(B37&lt;&gt;"",IF(COUNT($A$33:A37)&lt;=$G$39,0,$G$41)+IF(COUNT($A$33:A37)&lt;=$G$40,0,$G$42),0)</f>
        <v>2250</v>
      </c>
      <c r="D37" s="170">
        <f>IFERROR(DATE(YEAR(B37),MONTH(B37),1)," ")</f>
        <v>42917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42962</v>
      </c>
      <c r="C38" s="27">
        <f>IF(B38&lt;&gt;"",IF(COUNT($A$33:A38)&lt;=$G$39,0,$G$41)+IF(COUNT($A$33:A38)&lt;=$G$40,0,$G$42),0)</f>
        <v>23678.57142857143</v>
      </c>
      <c r="D38" s="170">
        <f>IFERROR(DATE(YEAR(B38),MONTH(B38),1)," ")</f>
        <v>42948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42993</v>
      </c>
      <c r="C39" s="27">
        <f>IF(B39&lt;&gt;"",IF(COUNT($A$33:A39)&lt;=$G$39,0,$G$41)+IF(COUNT($A$33:A39)&lt;=$G$40,0,$G$42),0)</f>
        <v>23678.57142857143</v>
      </c>
      <c r="D39" s="170">
        <f>IFERROR(DATE(YEAR(B39),MONTH(B39),1)," ")</f>
        <v>42979</v>
      </c>
      <c r="F39" t="s">
        <v>164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43023</v>
      </c>
      <c r="C40" s="27">
        <f>IF(B40&lt;&gt;"",IF(COUNT($A$33:A40)&lt;=$G$39,0,$G$41)+IF(COUNT($A$33:A40)&lt;=$G$40,0,$G$42),0)</f>
        <v>23678.57142857143</v>
      </c>
      <c r="D40" s="170">
        <f>IFERROR(DATE(YEAR(B40),MONTH(B40),1)," ")</f>
        <v>43009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43054</v>
      </c>
      <c r="C41" s="27">
        <f>IF(B41&lt;&gt;"",IF(COUNT($A$33:A41)&lt;=$G$39,0,$G$41)+IF(COUNT($A$33:A41)&lt;=$G$40,0,$G$42),0)</f>
        <v>23678.57142857143</v>
      </c>
      <c r="D41" s="170">
        <f>IFERROR(DATE(YEAR(B41),MONTH(B41),1)," ")</f>
        <v>43040</v>
      </c>
      <c r="F41" t="s">
        <v>222</v>
      </c>
      <c r="G41" s="73">
        <f>IFERROR(G35/(G38-G39),"")</f>
        <v>21428.57142857143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43084</v>
      </c>
      <c r="C42" s="27">
        <f>IF(B42&lt;&gt;"",IF(COUNT($A$33:A42)&lt;=$G$39,0,$G$41)+IF(COUNT($A$33:A42)&lt;=$G$40,0,$G$42),0)</f>
        <v>23678.57142857143</v>
      </c>
      <c r="D42" s="170">
        <f>IFERROR(DATE(YEAR(B42),MONTH(B42),1)," ")</f>
        <v>43070</v>
      </c>
      <c r="F42" t="s">
        <v>223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43115</v>
      </c>
      <c r="C43" s="27">
        <f>IF(B43&lt;&gt;"",IF(COUNT($A$33:A43)&lt;=$G$39,0,$G$41)+IF(COUNT($A$33:A43)&lt;=$G$40,0,$G$42),0)</f>
        <v>23678.57142857143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43146</v>
      </c>
      <c r="C44" s="27">
        <f>IF(B44&lt;&gt;"",IF(COUNT($A$33:A44)&lt;=$G$39,0,$G$41)+IF(COUNT($A$33:A44)&lt;=$G$40,0,$G$42),0)</f>
        <v>23678.57142857143</v>
      </c>
      <c r="D44" s="170">
        <f>IFERROR(DATE(YEAR(B44),MONTH(B44),1)," ")</f>
        <v>43132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310</v>
      </c>
      <c r="C41" s="191" t="s">
        <v>116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312</v>
      </c>
      <c r="H52" s="12" t="s">
        <v>120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224</v>
      </c>
      <c r="E53" s="10" t="s">
        <v>183</v>
      </c>
      <c r="F53" s="10" t="s">
        <v>243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116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116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116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116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116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116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116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116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116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116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116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161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220</v>
      </c>
      <c r="J76" s="11" t="s">
        <v>346</v>
      </c>
      <c r="K76" s="11" t="s">
        <v>173</v>
      </c>
      <c r="AJ76" s="12"/>
    </row>
    <row r="77" spans="1:36">
      <c r="A77" t="s">
        <v>116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120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313</v>
      </c>
      <c r="I78" s="12" t="s">
        <v>355</v>
      </c>
      <c r="J78" s="70" t="s">
        <v>356</v>
      </c>
      <c r="K78" s="12" t="s">
        <v>310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161</v>
      </c>
      <c r="J79" s="70" t="s">
        <v>361</v>
      </c>
      <c r="K79" s="12" t="s">
        <v>310</v>
      </c>
      <c r="AJ79" s="12"/>
    </row>
    <row r="80" spans="1:36">
      <c r="B80" s="176">
        <v>20</v>
      </c>
      <c r="C80" s="12" t="s">
        <v>144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116</v>
      </c>
      <c r="AJ80" s="12"/>
    </row>
    <row r="81" spans="1:36">
      <c r="B81" s="176">
        <v>30</v>
      </c>
      <c r="C81" s="12" t="s">
        <v>145</v>
      </c>
      <c r="D81" s="12">
        <f>D80+1</f>
        <v>3</v>
      </c>
      <c r="J81" s="70" t="s">
        <v>365</v>
      </c>
      <c r="K81" s="12" t="s">
        <v>116</v>
      </c>
    </row>
    <row r="82" spans="1:36">
      <c r="B82" s="176">
        <v>40</v>
      </c>
      <c r="C82" s="12" t="s">
        <v>146</v>
      </c>
      <c r="D82" s="12">
        <f>D81+1</f>
        <v>4</v>
      </c>
      <c r="J82" s="70"/>
    </row>
    <row r="83" spans="1:36">
      <c r="B83" s="176">
        <v>50</v>
      </c>
      <c r="C83" s="12" t="s">
        <v>147</v>
      </c>
      <c r="D83" s="12">
        <f>D82+1</f>
        <v>5</v>
      </c>
    </row>
    <row r="84" spans="1:36">
      <c r="B84" s="176">
        <v>60</v>
      </c>
      <c r="C84" s="12" t="s">
        <v>148</v>
      </c>
      <c r="D84" s="12">
        <f>D83+1</f>
        <v>6</v>
      </c>
    </row>
    <row r="85" spans="1:36">
      <c r="B85" s="176">
        <v>70</v>
      </c>
      <c r="C85" s="12" t="s">
        <v>149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367</v>
      </c>
      <c r="D87" s="12">
        <f>D86+1</f>
        <v>9</v>
      </c>
    </row>
    <row r="88" spans="1:36">
      <c r="B88" s="176">
        <v>99.99999999999999</v>
      </c>
      <c r="C88" s="12" t="s">
        <v>368</v>
      </c>
      <c r="D88" s="12">
        <f>D87+1</f>
        <v>10</v>
      </c>
    </row>
    <row r="89" spans="1:36">
      <c r="C89" s="12" t="s">
        <v>369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