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<sst xmlns="http://schemas.openxmlformats.org/spreadsheetml/2006/main" uniqueCount="372">
  <si>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</si>
  <si>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</si>
  <si>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</si>
  <si>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</si>
  <si>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</si>
  <si>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</si>
  <si>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</si>
  <si>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</si>
  <si>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</si>
  <si>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</si>
  <si>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</si>
  <si>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</si>
  <si>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</si>
  <si>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</si>
  <si>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</si>
  <si>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</si>
  <si>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</si>
  <si>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</si>
  <si>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</si>
  <si>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</si>
  <si>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</si>
  <si>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</si>
  <si>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</si>
  <si>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</si>
  <si>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</si>
  <si>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</si>
  <si>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</si>
  <si>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</si>
  <si>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</si>
  <si>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</si>
  <si>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</si>
  <si>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</si>
  <si>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</si>
  <si>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</si>
  <si>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</si>
  <si>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</si>
  <si>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</si>
  <si>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</si>
  <si>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</si>
  <si>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</si>
  <si>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</si>
  <si>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</si>
  <si>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</si>
  <si>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</si>
  <si>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</si>
  <si>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</si>
  <si>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</si>
  <si>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</si>
  <si>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</si>
  <si>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</si>
  <si>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</si>
  <si>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</si>
  <si>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</si>
  <si>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</si>
  <si>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</si>
  <si>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</si>
  <si>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</si>
  <si>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</si>
  <si>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</si>
  <si>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</si>
  <si>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</si>
  <si>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</si>
  <si>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</si>
  <si>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</si>
  <si>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</si>
  <si>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</si>
  <si>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</si>
  <si>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</si>
  <si>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</si>
  <si>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</si>
  <si>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</si>
  <si>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</si>
  <si>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</si>
  <si>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</si>
  <si>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</si>
  <si>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</si>
  <si>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</si>
  <si>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</si>
  <si>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</si>
  <si>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</si>
  <si>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</si>
  <si>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</si>
  <si>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</si>
  <si>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</si>
  <si>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</si>
  <si>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</si>
  <si>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</si>
  <si>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</si>
  <si>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</si>
  <si>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</si>
  <si>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Home recycled</t>
  </si>
  <si>
    <t>Yes Inorganic fertizers</t>
  </si>
  <si>
    <t>No</t>
  </si>
  <si>
    <t>February</t>
  </si>
  <si>
    <t>Maize</t>
  </si>
  <si>
    <t>Yes</t>
  </si>
  <si>
    <t>Potatoes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</si>
  <si>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</si>
  <si>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</si>
  <si>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</si>
  <si>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</si>
  <si>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</si>
  <si>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</si>
  <si>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</si>
  <si>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</si>
  <si>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</si>
  <si>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</si>
  <si>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</si>
  <si>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</si>
  <si>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</si>
  <si>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</si>
  <si>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</si>
  <si>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</si>
  <si>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</si>
  <si>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</si>
  <si>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</si>
  <si>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</si>
  <si>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</si>
  <si>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</si>
  <si>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</si>
  <si>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</si>
  <si>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</si>
  <si>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</si>
  <si>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</si>
  <si>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</si>
  <si>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</si>
  <si>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</si>
  <si>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</si>
  <si>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</si>
  <si>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</si>
  <si>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</si>
  <si>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</si>
  <si>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</si>
  <si>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</si>
  <si>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</si>
  <si>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</si>
  <si>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</si>
  <si>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</si>
  <si>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</si>
  <si>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</si>
  <si>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</si>
  <si>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</si>
  <si>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</si>
  <si>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</si>
  <si>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</si>
  <si>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2/14/2013</t>
  </si>
  <si>
    <t>Equity bank</t>
  </si>
  <si>
    <t>TRP 100%</t>
  </si>
  <si>
    <t>3/6/2015</t>
  </si>
  <si>
    <t>Equity</t>
  </si>
  <si>
    <t>Trp 100%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</si>
  <si>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</si>
  <si>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</si>
  <si>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</si>
  <si>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</si>
  <si>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</si>
  <si>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</si>
  <si>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</si>
  <si>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</si>
  <si>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</si>
  <si>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</si>
  <si>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</si>
  <si>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</si>
  <si>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2017/2/20</t>
  </si>
  <si>
    <t>Loan terms</t>
  </si>
  <si>
    <t>Expected disbursement date</t>
  </si>
  <si>
    <t>Expected first repayment date</t>
  </si>
  <si>
    <t>2017/3/20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</si>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</sst>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January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Maize, Potatoes,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0.3302756072088496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0.02057470088966152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98333.33333333333</v>
      </c>
    </row>
    <row r="17" spans="1:7">
      <c r="B17" s="1" t="s">
        <v>11</v>
      </c>
      <c r="C17" s="36">
        <f>SUM(Output!B6:M6)</f>
        <v>3426197.520874313</v>
      </c>
    </row>
    <row r="18" spans="1:7">
      <c r="B18" s="1" t="s">
        <v>12</v>
      </c>
      <c r="C18" s="36">
        <f>MIN(Output!B6:M6)</f>
        <v>-853423.8305247633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3089143.028618094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1900000</v>
      </c>
    </row>
    <row r="25" spans="1:7">
      <c r="B25" s="1" t="s">
        <v>18</v>
      </c>
      <c r="C25" s="36">
        <f>MAX(Inputs!A56:A60)</f>
        <v>2800000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1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-853423.8305247633</v>
      </c>
      <c r="C6" s="51">
        <f>C30-C88</f>
        <v>-244803.8305247634</v>
      </c>
      <c r="D6" s="51">
        <f>D30-D88</f>
        <v>-262003.8305247634</v>
      </c>
      <c r="E6" s="51">
        <f>E30-E88</f>
        <v>-256803.8305247634</v>
      </c>
      <c r="F6" s="51">
        <f>F30-F88</f>
        <v>-36998.62623079662</v>
      </c>
      <c r="G6" s="51">
        <f>G30-G88</f>
        <v>3072000.171475236</v>
      </c>
      <c r="H6" s="51">
        <f>H30-H88</f>
        <v>-688085.3627232173</v>
      </c>
      <c r="I6" s="51">
        <f>I30-I88</f>
        <v>99551.34768580232</v>
      </c>
      <c r="J6" s="51">
        <f>J30-J88</f>
        <v>-244860.9733819062</v>
      </c>
      <c r="K6" s="51">
        <f>K30-K88</f>
        <v>-227660.9733819062</v>
      </c>
      <c r="L6" s="51">
        <f>L30-L88</f>
        <v>-19855.76908793946</v>
      </c>
      <c r="M6" s="51">
        <f>M30-M88</f>
        <v>3089143.028618094</v>
      </c>
      <c r="N6" s="51">
        <f>N30-N88</f>
        <v>-853423.8305247633</v>
      </c>
      <c r="O6" s="51">
        <f>O30-O88</f>
        <v>-244803.8305247634</v>
      </c>
      <c r="P6" s="51">
        <f>P30-P88</f>
        <v>-262003.8305247634</v>
      </c>
      <c r="Q6" s="51">
        <f>Q30-Q88</f>
        <v>-256803.8305247634</v>
      </c>
      <c r="R6" s="51">
        <f>R30-R88</f>
        <v>-36998.62623079662</v>
      </c>
      <c r="S6" s="51">
        <f>S30-S88</f>
        <v>3072000.171475236</v>
      </c>
      <c r="T6" s="51">
        <f>T30-T88</f>
        <v>-688085.3627232173</v>
      </c>
      <c r="U6" s="51">
        <f>U30-U88</f>
        <v>99551.34768580232</v>
      </c>
      <c r="V6" s="51">
        <f>V30-V88</f>
        <v>-244860.9733819062</v>
      </c>
      <c r="W6" s="51">
        <f>W30-W88</f>
        <v>-227660.9733819062</v>
      </c>
      <c r="X6" s="51">
        <f>X30-X88</f>
        <v>-19855.76908793946</v>
      </c>
      <c r="Y6" s="51">
        <f>Y30-Y88</f>
        <v>3089143.028618094</v>
      </c>
      <c r="Z6" s="51">
        <f>SUMIF($B$13:$Y$13,"Yes",B6:Y6)</f>
        <v>2572773.69034955</v>
      </c>
      <c r="AA6" s="51">
        <f>AA30-AA88</f>
        <v>3426197.520874314</v>
      </c>
      <c r="AB6" s="51">
        <f>AB30-AB88</f>
        <v>6852395.041748626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19796</v>
      </c>
      <c r="I7" s="80">
        <f>IF(ISERROR(VLOOKUP(MONTH(I5),Inputs!$D$66:$D$71,1,0)),"",INDEX(Inputs!$B$66:$B$71,MATCH(MONTH(Output!I5),Inputs!$D$66:$D$71,0))-INDEX(Inputs!$C$66:$C$71,MATCH(MONTH(Output!I5),Inputs!$D$66:$D$71,0)))</f>
        <v>72421</v>
      </c>
      <c r="J7" s="80">
        <f>IF(ISERROR(VLOOKUP(MONTH(J5),Inputs!$D$66:$D$71,1,0)),"",INDEX(Inputs!$B$66:$B$71,MATCH(MONTH(Output!J5),Inputs!$D$66:$D$71,0))-INDEX(Inputs!$C$66:$C$71,MATCH(MONTH(Output!J5),Inputs!$D$66:$D$71,0)))</f>
        <v>98997</v>
      </c>
      <c r="K7" s="80">
        <f>IF(ISERROR(VLOOKUP(MONTH(K5),Inputs!$D$66:$D$71,1,0)),"",INDEX(Inputs!$B$66:$B$71,MATCH(MONTH(Output!K5),Inputs!$D$66:$D$71,0))-INDEX(Inputs!$C$66:$C$71,MATCH(MONTH(Output!K5),Inputs!$D$66:$D$71,0)))</f>
        <v>879689</v>
      </c>
      <c r="L7" s="80">
        <f>IF(ISERROR(VLOOKUP(MONTH(L5),Inputs!$D$66:$D$71,1,0)),"",INDEX(Inputs!$B$66:$B$71,MATCH(MONTH(Output!L5),Inputs!$D$66:$D$71,0))-INDEX(Inputs!$C$66:$C$71,MATCH(MONTH(Output!L5),Inputs!$D$66:$D$71,0)))</f>
        <v>219778</v>
      </c>
      <c r="M7" s="80">
        <f>IF(ISERROR(VLOOKUP(MONTH(M5),Inputs!$D$66:$D$71,1,0)),"",INDEX(Inputs!$B$66:$B$71,MATCH(MONTH(Output!M5),Inputs!$D$66:$D$71,0))-INDEX(Inputs!$C$66:$C$71,MATCH(MONTH(Output!M5),Inputs!$D$66:$D$71,0)))</f>
        <v>2350002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19796</v>
      </c>
      <c r="U7" s="80">
        <f>IF(ISERROR(VLOOKUP(MONTH(U5),Inputs!$D$66:$D$71,1,0)),"",INDEX(Inputs!$B$66:$B$71,MATCH(MONTH(Output!U5),Inputs!$D$66:$D$71,0))-INDEX(Inputs!$C$66:$C$71,MATCH(MONTH(Output!U5),Inputs!$D$66:$D$71,0)))</f>
        <v>72421</v>
      </c>
      <c r="V7" s="80">
        <f>IF(ISERROR(VLOOKUP(MONTH(V5),Inputs!$D$66:$D$71,1,0)),"",INDEX(Inputs!$B$66:$B$71,MATCH(MONTH(Output!V5),Inputs!$D$66:$D$71,0))-INDEX(Inputs!$C$66:$C$71,MATCH(MONTH(Output!V5),Inputs!$D$66:$D$71,0)))</f>
        <v>98997</v>
      </c>
      <c r="W7" s="80">
        <f>IF(ISERROR(VLOOKUP(MONTH(W5),Inputs!$D$66:$D$71,1,0)),"",INDEX(Inputs!$B$66:$B$71,MATCH(MONTH(Output!W5),Inputs!$D$66:$D$71,0))-INDEX(Inputs!$C$66:$C$71,MATCH(MONTH(Output!W5),Inputs!$D$66:$D$71,0)))</f>
        <v>879689</v>
      </c>
      <c r="X7" s="80">
        <f>IF(ISERROR(VLOOKUP(MONTH(X5),Inputs!$D$66:$D$71,1,0)),"",INDEX(Inputs!$B$66:$B$71,MATCH(MONTH(Output!X5),Inputs!$D$66:$D$71,0))-INDEX(Inputs!$C$66:$C$71,MATCH(MONTH(Output!X5),Inputs!$D$66:$D$71,0)))</f>
        <v>219778</v>
      </c>
      <c r="Y7" s="80">
        <f>IF(ISERROR(VLOOKUP(MONTH(Y5),Inputs!$D$66:$D$71,1,0)),"",INDEX(Inputs!$B$66:$B$71,MATCH(MONTH(Output!Y5),Inputs!$D$66:$D$71,0))-INDEX(Inputs!$C$66:$C$71,MATCH(MONTH(Output!Y5),Inputs!$D$66:$D$71,0)))</f>
        <v>2350002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1000000</v>
      </c>
      <c r="AA9" s="75">
        <f>SUM(B9:M9)</f>
        <v>1000000</v>
      </c>
      <c r="AB9" s="75">
        <f>SUM(B9:Y9)</f>
        <v>1000000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98333.33333333333</v>
      </c>
      <c r="D10" s="37">
        <f>SUMPRODUCT((Calculations!$D$33:$D$84=Output!D5)+0,Calculations!$C$33:$C$84)</f>
        <v>98333.33333333333</v>
      </c>
      <c r="E10" s="37">
        <f>SUMPRODUCT((Calculations!$D$33:$D$84=Output!E5)+0,Calculations!$C$33:$C$84)</f>
        <v>98333.33333333333</v>
      </c>
      <c r="F10" s="37">
        <f>SUMPRODUCT((Calculations!$D$33:$D$84=Output!F5)+0,Calculations!$C$33:$C$84)</f>
        <v>98333.33333333333</v>
      </c>
      <c r="G10" s="37">
        <f>SUMPRODUCT((Calculations!$D$33:$D$84=Output!G5)+0,Calculations!$C$33:$C$84)</f>
        <v>98333.33333333333</v>
      </c>
      <c r="H10" s="37">
        <f>SUMPRODUCT((Calculations!$D$33:$D$84=Output!H5)+0,Calculations!$C$33:$C$84)</f>
        <v>98333.33333333333</v>
      </c>
      <c r="I10" s="37">
        <f>SUMPRODUCT((Calculations!$D$33:$D$84=Output!I5)+0,Calculations!$C$33:$C$84)</f>
        <v>98333.33333333333</v>
      </c>
      <c r="J10" s="37">
        <f>SUMPRODUCT((Calculations!$D$33:$D$84=Output!J5)+0,Calculations!$C$33:$C$84)</f>
        <v>98333.33333333333</v>
      </c>
      <c r="K10" s="37">
        <f>SUMPRODUCT((Calculations!$D$33:$D$84=Output!K5)+0,Calculations!$C$33:$C$84)</f>
        <v>98333.33333333333</v>
      </c>
      <c r="L10" s="37">
        <f>SUMPRODUCT((Calculations!$D$33:$D$84=Output!L5)+0,Calculations!$C$33:$C$84)</f>
        <v>98333.33333333333</v>
      </c>
      <c r="M10" s="37">
        <f>SUMPRODUCT((Calculations!$D$33:$D$84=Output!M5)+0,Calculations!$C$33:$C$84)</f>
        <v>98333.33333333333</v>
      </c>
      <c r="N10" s="37">
        <f>SUMPRODUCT((Calculations!$D$33:$D$84=Output!N5)+0,Calculations!$C$33:$C$84)</f>
        <v>98333.33333333333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1180000</v>
      </c>
      <c r="AA10" s="37">
        <f>SUM(B10:M10)</f>
        <v>1081666.666666667</v>
      </c>
      <c r="AB10" s="37">
        <f>SUM(B10:Y10)</f>
        <v>1180000</v>
      </c>
    </row>
    <row r="11" spans="1:30" customHeight="1" ht="15.75">
      <c r="A11" s="43" t="s">
        <v>31</v>
      </c>
      <c r="B11" s="80">
        <f>B6+B9-B10</f>
        <v>146576.1694752367</v>
      </c>
      <c r="C11" s="80">
        <f>C6+C9-C10</f>
        <v>-343137.1638580967</v>
      </c>
      <c r="D11" s="80">
        <f>D6+D9-D10</f>
        <v>-360337.1638580967</v>
      </c>
      <c r="E11" s="80">
        <f>E6+E9-E10</f>
        <v>-355137.1638580967</v>
      </c>
      <c r="F11" s="80">
        <f>F6+F9-F10</f>
        <v>-135331.9595641299</v>
      </c>
      <c r="G11" s="80">
        <f>G6+G9-G10</f>
        <v>2973666.838141903</v>
      </c>
      <c r="H11" s="80">
        <f>H6+H9-H10</f>
        <v>-786418.6960565507</v>
      </c>
      <c r="I11" s="80">
        <f>I6+I9-I10</f>
        <v>1218.014352468992</v>
      </c>
      <c r="J11" s="80">
        <f>J6+J9-J10</f>
        <v>-343194.3067152395</v>
      </c>
      <c r="K11" s="80">
        <f>K6+K9-K10</f>
        <v>-325994.3067152395</v>
      </c>
      <c r="L11" s="80">
        <f>L6+L9-L10</f>
        <v>-118189.1024212728</v>
      </c>
      <c r="M11" s="80">
        <f>M6+M9-M10</f>
        <v>2990809.69528476</v>
      </c>
      <c r="N11" s="80">
        <f>N6+N9-N10</f>
        <v>-951757.1638580967</v>
      </c>
      <c r="O11" s="80">
        <f>O6+O9-O10</f>
        <v>-244803.8305247634</v>
      </c>
      <c r="P11" s="80">
        <f>P6+P9-P10</f>
        <v>-262003.8305247634</v>
      </c>
      <c r="Q11" s="80">
        <f>Q6+Q9-Q10</f>
        <v>-256803.8305247634</v>
      </c>
      <c r="R11" s="80">
        <f>R6+R9-R10</f>
        <v>-36998.62623079662</v>
      </c>
      <c r="S11" s="80">
        <f>S6+S9-S10</f>
        <v>3072000.171475236</v>
      </c>
      <c r="T11" s="80">
        <f>T6+T9-T10</f>
        <v>-688085.3627232173</v>
      </c>
      <c r="U11" s="80">
        <f>U6+U9-U10</f>
        <v>99551.34768580232</v>
      </c>
      <c r="V11" s="80">
        <f>V6+V9-V10</f>
        <v>-244860.9733819062</v>
      </c>
      <c r="W11" s="80">
        <f>W6+W9-W10</f>
        <v>-227660.9733819062</v>
      </c>
      <c r="X11" s="80">
        <f>X6+X9-X10</f>
        <v>-19855.76908793946</v>
      </c>
      <c r="Y11" s="80">
        <f>Y6+Y9-Y10</f>
        <v>3089143.028618094</v>
      </c>
      <c r="Z11" s="85">
        <f>SUMIF($B$13:$Y$13,"Yes",B11:Y11)</f>
        <v>2392773.69034955</v>
      </c>
      <c r="AA11" s="80">
        <f>SUM(B11:M11)</f>
        <v>3344530.854207646</v>
      </c>
      <c r="AB11" s="46">
        <f>SUM(B11:Y11)</f>
        <v>6672395.041748626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0.2033389308586318</v>
      </c>
      <c r="H12" s="82">
        <f>IF(H13="Yes",IF(SUM($B$10:H10)/(SUM($B$6:H6)+SUM($B$9:H9))&lt;0,999.99,SUM($B$10:H10)/(SUM($B$6:H6)+SUM($B$9:H9))),"")</f>
        <v>0.3410639504133327</v>
      </c>
      <c r="I12" s="82">
        <f>IF(I13="Yes",IF(SUM($B$10:I10)/(SUM($B$6:I6)+SUM($B$9:I9))&lt;0,999.99,SUM($B$10:I10)/(SUM($B$6:I6)+SUM($B$9:I9))),"")</f>
        <v>0.3762551737542759</v>
      </c>
      <c r="J12" s="82">
        <f>IF(J13="Yes",IF(SUM($B$10:J10)/(SUM($B$6:J6)+SUM($B$9:J9))&lt;0,999.99,SUM($B$10:J10)/(SUM($B$6:J6)+SUM($B$9:J9))),"")</f>
        <v>0.4964539614419183</v>
      </c>
      <c r="K12" s="82">
        <f>IF(K13="Yes",IF(SUM($B$10:K10)/(SUM($B$6:K6)+SUM($B$9:K9))&lt;0,999.99,SUM($B$10:K10)/(SUM($B$6:K6)+SUM($B$9:K9))),"")</f>
        <v>0.6522170442747753</v>
      </c>
      <c r="L12" s="82">
        <f>IF(L13="Yes",IF(SUM($B$10:L10)/(SUM($B$6:L6)+SUM($B$9:L9))&lt;0,999.99,SUM($B$10:L10)/(SUM($B$6:L6)+SUM($B$9:L9))),"")</f>
        <v>0.735447462334914</v>
      </c>
      <c r="M12" s="82">
        <f>IF(M13="Yes",IF(SUM($B$10:M10)/(SUM($B$6:M6)+SUM($B$9:M9))&lt;0,999.99,SUM($B$10:M10)/(SUM($B$6:M6)+SUM($B$9:M9))),"")</f>
        <v>0.2443783092745946</v>
      </c>
      <c r="N12" s="82">
        <f>IF(N13="Yes",IF(SUM($B$10:N10)/(SUM($B$6:N6)+SUM($B$9:N9))&lt;0,999.99,SUM($B$10:N10)/(SUM($B$6:N6)+SUM($B$9:N9))),"")</f>
        <v>0.3302756072088496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3314404.002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3314404.002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3314404.002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3314404.002</v>
      </c>
      <c r="Z18" s="36">
        <f>SUMIF($B$13:$Y$13,"Yes",B18:Y18)</f>
        <v>6628808.004</v>
      </c>
      <c r="AA18" s="36">
        <f>SUM(B18:M18)</f>
        <v>6628808.004</v>
      </c>
      <c r="AB18" s="36">
        <f>SUM(B18:Y18)</f>
        <v>13257616.008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272676.9342230905</v>
      </c>
      <c r="I19" s="36">
        <f>U19</f>
        <v>327212.3210677085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272676.9342230905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327212.3210677085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599889.2552907991</v>
      </c>
      <c r="AA19" s="36">
        <f>SUM(B19:M19)</f>
        <v>599889.2552907991</v>
      </c>
      <c r="AB19" s="36">
        <f>SUM(B19:Y19)</f>
        <v>1199778.510581598</v>
      </c>
      <c r="AC19" s="43"/>
      <c r="AD19" s="43"/>
    </row>
    <row r="20" spans="1:30">
      <c r="A20" t="str">
        <f>IF(Calculations!A6&lt;&gt;Parameters!$A$18,IF(Calculations!A6=0,"",Calculations!A6),Inputs!B9)</f>
        <v>Potatoes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207805.2042939667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207805.2042939667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207805.2042939667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207805.2042939667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415610.4085879335</v>
      </c>
      <c r="AA20" s="36">
        <f>SUM(B20:M20)</f>
        <v>415610.4085879335</v>
      </c>
      <c r="AB20" s="36">
        <f>SUM(B20:Y20)</f>
        <v>831220.8171758669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192000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19166.66666666667</v>
      </c>
      <c r="C24" s="36">
        <f>IFERROR(Calculations!$P14/12,"")</f>
        <v>19166.66666666667</v>
      </c>
      <c r="D24" s="36">
        <f>IFERROR(Calculations!$P14/12,"")</f>
        <v>19166.66666666667</v>
      </c>
      <c r="E24" s="36">
        <f>IFERROR(Calculations!$P14/12,"")</f>
        <v>19166.66666666667</v>
      </c>
      <c r="F24" s="36">
        <f>IFERROR(Calculations!$P14/12,"")</f>
        <v>19166.66666666667</v>
      </c>
      <c r="G24" s="36">
        <f>IFERROR(Calculations!$P14/12,"")</f>
        <v>19166.66666666667</v>
      </c>
      <c r="H24" s="36">
        <f>IFERROR(Calculations!$P14/12,"")</f>
        <v>19166.66666666667</v>
      </c>
      <c r="I24" s="36">
        <f>IFERROR(Calculations!$P14/12,"")</f>
        <v>19166.66666666667</v>
      </c>
      <c r="J24" s="36">
        <f>IFERROR(Calculations!$P14/12,"")</f>
        <v>19166.66666666667</v>
      </c>
      <c r="K24" s="36">
        <f>IFERROR(Calculations!$P14/12,"")</f>
        <v>19166.66666666667</v>
      </c>
      <c r="L24" s="36">
        <f>IFERROR(Calculations!$P14/12,"")</f>
        <v>19166.66666666667</v>
      </c>
      <c r="M24" s="36">
        <f>IFERROR(Calculations!$P14/12,"")</f>
        <v>19166.66666666667</v>
      </c>
      <c r="N24" s="36">
        <f>IFERROR(Calculations!$P14/12,"")</f>
        <v>19166.66666666667</v>
      </c>
      <c r="O24" s="36">
        <f>IFERROR(Calculations!$P14/12,"")</f>
        <v>19166.66666666667</v>
      </c>
      <c r="P24" s="36">
        <f>IFERROR(Calculations!$P14/12,"")</f>
        <v>19166.66666666667</v>
      </c>
      <c r="Q24" s="36">
        <f>IFERROR(Calculations!$P14/12,"")</f>
        <v>19166.66666666667</v>
      </c>
      <c r="R24" s="36">
        <f>IFERROR(Calculations!$P14/12,"")</f>
        <v>19166.66666666667</v>
      </c>
      <c r="S24" s="36">
        <f>IFERROR(Calculations!$P14/12,"")</f>
        <v>19166.66666666667</v>
      </c>
      <c r="T24" s="36">
        <f>IFERROR(Calculations!$P14/12,"")</f>
        <v>19166.66666666667</v>
      </c>
      <c r="U24" s="36">
        <f>IFERROR(Calculations!$P14/12,"")</f>
        <v>19166.66666666667</v>
      </c>
      <c r="V24" s="36">
        <f>IFERROR(Calculations!$P14/12,"")</f>
        <v>19166.66666666667</v>
      </c>
      <c r="W24" s="36">
        <f>IFERROR(Calculations!$P14/12,"")</f>
        <v>19166.66666666667</v>
      </c>
      <c r="X24" s="36">
        <f>IFERROR(Calculations!$P14/12,"")</f>
        <v>19166.66666666667</v>
      </c>
      <c r="Y24" s="36">
        <f>IFERROR(Calculations!$P14/12,"")</f>
        <v>19166.66666666667</v>
      </c>
      <c r="Z24" s="36">
        <f>SUMIF($B$13:$Y$13,"Yes",B24:Y24)</f>
        <v>249166.6666666666</v>
      </c>
      <c r="AA24" s="36">
        <f>SUM(B24:M24)</f>
        <v>230000</v>
      </c>
      <c r="AB24" s="46">
        <f>SUM(B24:Y24)</f>
        <v>460000.0000000002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20833.33333333333</v>
      </c>
      <c r="C25" s="36">
        <f>IFERROR(Calculations!$P15/12,"")</f>
        <v>20833.33333333333</v>
      </c>
      <c r="D25" s="36">
        <f>IFERROR(Calculations!$P15/12,"")</f>
        <v>20833.33333333333</v>
      </c>
      <c r="E25" s="36">
        <f>IFERROR(Calculations!$P15/12,"")</f>
        <v>20833.33333333333</v>
      </c>
      <c r="F25" s="36">
        <f>IFERROR(Calculations!$P15/12,"")</f>
        <v>20833.33333333333</v>
      </c>
      <c r="G25" s="36">
        <f>IFERROR(Calculations!$P15/12,"")</f>
        <v>20833.33333333333</v>
      </c>
      <c r="H25" s="36">
        <f>IFERROR(Calculations!$P15/12,"")</f>
        <v>20833.33333333333</v>
      </c>
      <c r="I25" s="36">
        <f>IFERROR(Calculations!$P15/12,"")</f>
        <v>20833.33333333333</v>
      </c>
      <c r="J25" s="36">
        <f>IFERROR(Calculations!$P15/12,"")</f>
        <v>20833.33333333333</v>
      </c>
      <c r="K25" s="36">
        <f>IFERROR(Calculations!$P15/12,"")</f>
        <v>20833.33333333333</v>
      </c>
      <c r="L25" s="36">
        <f>IFERROR(Calculations!$P15/12,"")</f>
        <v>20833.33333333333</v>
      </c>
      <c r="M25" s="36">
        <f>IFERROR(Calculations!$P15/12,"")</f>
        <v>20833.33333333333</v>
      </c>
      <c r="N25" s="36">
        <f>IFERROR(Calculations!$P15/12,"")</f>
        <v>20833.33333333333</v>
      </c>
      <c r="O25" s="36">
        <f>IFERROR(Calculations!$P15/12,"")</f>
        <v>20833.33333333333</v>
      </c>
      <c r="P25" s="36">
        <f>IFERROR(Calculations!$P15/12,"")</f>
        <v>20833.33333333333</v>
      </c>
      <c r="Q25" s="36">
        <f>IFERROR(Calculations!$P15/12,"")</f>
        <v>20833.33333333333</v>
      </c>
      <c r="R25" s="36">
        <f>IFERROR(Calculations!$P15/12,"")</f>
        <v>20833.33333333333</v>
      </c>
      <c r="S25" s="36">
        <f>IFERROR(Calculations!$P15/12,"")</f>
        <v>20833.33333333333</v>
      </c>
      <c r="T25" s="36">
        <f>IFERROR(Calculations!$P15/12,"")</f>
        <v>20833.33333333333</v>
      </c>
      <c r="U25" s="36">
        <f>IFERROR(Calculations!$P15/12,"")</f>
        <v>20833.33333333333</v>
      </c>
      <c r="V25" s="36">
        <f>IFERROR(Calculations!$P15/12,"")</f>
        <v>20833.33333333333</v>
      </c>
      <c r="W25" s="36">
        <f>IFERROR(Calculations!$P15/12,"")</f>
        <v>20833.33333333333</v>
      </c>
      <c r="X25" s="36">
        <f>IFERROR(Calculations!$P15/12,"")</f>
        <v>20833.33333333333</v>
      </c>
      <c r="Y25" s="36">
        <f>IFERROR(Calculations!$P15/12,"")</f>
        <v>20833.33333333333</v>
      </c>
      <c r="Z25" s="36">
        <f>SUMIF($B$13:$Y$13,"Yes",B25:Y25)</f>
        <v>270833.3333333334</v>
      </c>
      <c r="AA25" s="36">
        <f>SUM(B25:M25)</f>
        <v>250000</v>
      </c>
      <c r="AB25" s="46">
        <f>SUM(B25:Y25)</f>
        <v>499999.9999999998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65000</v>
      </c>
      <c r="C30" s="19">
        <f>SUM(C18:C29)</f>
        <v>65000</v>
      </c>
      <c r="D30" s="19">
        <f>SUM(D18:D29)</f>
        <v>65000</v>
      </c>
      <c r="E30" s="19">
        <f>SUM(E18:E29)</f>
        <v>65000</v>
      </c>
      <c r="F30" s="19">
        <f>SUM(F18:F29)</f>
        <v>272805.2042939668</v>
      </c>
      <c r="G30" s="19">
        <f>SUM(G18:G29)</f>
        <v>3379404.002</v>
      </c>
      <c r="H30" s="19">
        <f>SUM(H18:H29)</f>
        <v>337676.9342230905</v>
      </c>
      <c r="I30" s="19">
        <f>SUM(I18:I29)</f>
        <v>392212.3210677085</v>
      </c>
      <c r="J30" s="19">
        <f>SUM(J18:J29)</f>
        <v>65000</v>
      </c>
      <c r="K30" s="19">
        <f>SUM(K18:K29)</f>
        <v>65000</v>
      </c>
      <c r="L30" s="19">
        <f>SUM(L18:L29)</f>
        <v>272805.2042939668</v>
      </c>
      <c r="M30" s="19">
        <f>SUM(M18:M29)</f>
        <v>3379404.002</v>
      </c>
      <c r="N30" s="19">
        <f>SUM(N18:N29)</f>
        <v>65000</v>
      </c>
      <c r="O30" s="19">
        <f>SUM(O18:O29)</f>
        <v>65000</v>
      </c>
      <c r="P30" s="19">
        <f>SUM(P18:P29)</f>
        <v>65000</v>
      </c>
      <c r="Q30" s="19">
        <f>SUM(Q18:Q29)</f>
        <v>65000</v>
      </c>
      <c r="R30" s="19">
        <f>SUM(R18:R29)</f>
        <v>272805.2042939668</v>
      </c>
      <c r="S30" s="19">
        <f>SUM(S18:S29)</f>
        <v>3379404.002</v>
      </c>
      <c r="T30" s="19">
        <f>SUM(T18:T29)</f>
        <v>337676.9342230905</v>
      </c>
      <c r="U30" s="19">
        <f>SUM(U18:U29)</f>
        <v>392212.3210677085</v>
      </c>
      <c r="V30" s="19">
        <f>SUM(V18:V29)</f>
        <v>65000</v>
      </c>
      <c r="W30" s="19">
        <f>SUM(W18:W29)</f>
        <v>65000</v>
      </c>
      <c r="X30" s="19">
        <f>SUM(X18:X29)</f>
        <v>272805.2042939668</v>
      </c>
      <c r="Y30" s="19">
        <f>SUM(Y18:Y29)</f>
        <v>3379404.002</v>
      </c>
      <c r="Z30" s="19">
        <f>SUMIF($B$13:$Y$13,"Yes",B30:Y30)</f>
        <v>8489307.667878732</v>
      </c>
      <c r="AA30" s="19">
        <f>SUM(B30:M30)</f>
        <v>8424307.667878732</v>
      </c>
      <c r="AB30" s="19">
        <f>SUM(B30:Y30)</f>
        <v>16848615.33575746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Potatoes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608620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596500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608620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596500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1813740</v>
      </c>
      <c r="AA42" s="36">
        <f>SUM(B42:M42)</f>
        <v>1205120</v>
      </c>
      <c r="AB42" s="36">
        <f>SUM(B42:Y42)</f>
        <v>2410240</v>
      </c>
    </row>
    <row r="43" spans="1:30" hidden="true" outlineLevel="1">
      <c r="A43" s="181" t="str">
        <f>Calculations!$A$4</f>
        <v>Wheat</v>
      </c>
      <c r="B43" s="36">
        <f>N43</f>
        <v>500500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500500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500500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500500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1501500</v>
      </c>
      <c r="AA43" s="36">
        <f>SUM(B43:M43)</f>
        <v>1001000</v>
      </c>
      <c r="AB43" s="36">
        <f>SUM(B43:Y43)</f>
        <v>2002000</v>
      </c>
    </row>
    <row r="44" spans="1:30" hidden="true" outlineLevel="1">
      <c r="A44" s="181" t="str">
        <f>Calculations!$A$5</f>
        <v>Maize</v>
      </c>
      <c r="B44" s="36">
        <f>N44</f>
        <v>12120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12120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24240</v>
      </c>
      <c r="AA44" s="36">
        <f>SUM(B44:M44)</f>
        <v>12120</v>
      </c>
      <c r="AB44" s="36">
        <f>SUM(B44:Y44)</f>
        <v>24240</v>
      </c>
    </row>
    <row r="45" spans="1:30" hidden="true" outlineLevel="1">
      <c r="A45" s="181" t="str">
        <f>Calculations!$A$6</f>
        <v>Potatoes</v>
      </c>
      <c r="B45" s="36">
        <f>N45</f>
        <v>96000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96000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96000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96000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288000</v>
      </c>
      <c r="AA45" s="36">
        <f>SUM(B45:M45)</f>
        <v>192000</v>
      </c>
      <c r="AB45" s="36">
        <f>SUM(B45:Y45)</f>
        <v>384000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17200</v>
      </c>
      <c r="E48" s="36">
        <f>Q48</f>
        <v>12000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17200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17200</v>
      </c>
      <c r="Q48" s="46">
        <f>SUM(Q49:Q53)</f>
        <v>12000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17200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46400</v>
      </c>
      <c r="AA48" s="46">
        <f>SUM(B48:M48)</f>
        <v>46400</v>
      </c>
      <c r="AB48" s="46">
        <f>SUM(B48:Y48)</f>
        <v>92800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12000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12000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12000</v>
      </c>
      <c r="AA50" s="46">
        <f>SUM(B50:M50)</f>
        <v>12000</v>
      </c>
      <c r="AB50" s="46">
        <f>SUM(B50:Y50)</f>
        <v>24000</v>
      </c>
    </row>
    <row r="51" spans="1:30" hidden="true" outlineLevel="1">
      <c r="A51" s="181" t="str">
        <f>Calculations!$A$6</f>
        <v>Potatoes</v>
      </c>
      <c r="B51" s="36">
        <f>N51</f>
        <v>0</v>
      </c>
      <c r="C51" s="36">
        <f>O51</f>
        <v>0</v>
      </c>
      <c r="D51" s="36">
        <f>P51</f>
        <v>17200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17200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17200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17200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34400</v>
      </c>
      <c r="AA51" s="46">
        <f>SUM(B51:M51)</f>
        <v>34400</v>
      </c>
      <c r="AB51" s="46">
        <f>SUM(B51:Y51)</f>
        <v>68800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119458.4664215444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119458.4664215444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119458.4664215444</v>
      </c>
      <c r="AA54" s="46">
        <f>SUM(B54:M54)</f>
        <v>119458.4664215444</v>
      </c>
      <c r="AB54" s="46">
        <f>SUM(B54:Y54)</f>
        <v>238916.9328430888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119458.4664215444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119458.4664215444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119458.4664215444</v>
      </c>
      <c r="AA56" s="46">
        <f>SUM(B56:M56)</f>
        <v>119458.4664215444</v>
      </c>
      <c r="AB56" s="46">
        <f>SUM(B56:Y56)</f>
        <v>238916.9328430888</v>
      </c>
    </row>
    <row r="57" spans="1:30" hidden="true" outlineLevel="1">
      <c r="A57" s="181" t="str">
        <f>Calculations!$A$6</f>
        <v>Potatoes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Potatoes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100792.8571428571</v>
      </c>
      <c r="C66" s="36">
        <f>O66</f>
        <v>100792.8571428571</v>
      </c>
      <c r="D66" s="36">
        <f>P66</f>
        <v>100792.8571428571</v>
      </c>
      <c r="E66" s="36">
        <f>Q66</f>
        <v>100792.8571428571</v>
      </c>
      <c r="F66" s="36">
        <f>R66</f>
        <v>100792.8571428571</v>
      </c>
      <c r="G66" s="36">
        <f>S66</f>
        <v>98392.85714285714</v>
      </c>
      <c r="H66" s="36">
        <f>T66</f>
        <v>100792.8571428571</v>
      </c>
      <c r="I66" s="36">
        <f>U66</f>
        <v>83650</v>
      </c>
      <c r="J66" s="36">
        <f>V66</f>
        <v>83650</v>
      </c>
      <c r="K66" s="36">
        <f>W66</f>
        <v>83650</v>
      </c>
      <c r="L66" s="36">
        <f>X66</f>
        <v>83650</v>
      </c>
      <c r="M66" s="36">
        <f>Y66</f>
        <v>81250</v>
      </c>
      <c r="N66" s="46">
        <f>SUM(N67:N71)</f>
        <v>100792.8571428571</v>
      </c>
      <c r="O66" s="46">
        <f>SUM(O67:O71)</f>
        <v>100792.8571428571</v>
      </c>
      <c r="P66" s="46">
        <f>SUM(P67:P71)</f>
        <v>100792.8571428571</v>
      </c>
      <c r="Q66" s="46">
        <f>SUM(Q67:Q71)</f>
        <v>100792.8571428571</v>
      </c>
      <c r="R66" s="46">
        <f>SUM(R67:R71)</f>
        <v>100792.8571428571</v>
      </c>
      <c r="S66" s="46">
        <f>SUM(S67:S71)</f>
        <v>98392.85714285714</v>
      </c>
      <c r="T66" s="46">
        <f>SUM(T67:T71)</f>
        <v>100792.8571428571</v>
      </c>
      <c r="U66" s="46">
        <f>SUM(U67:U71)</f>
        <v>83650</v>
      </c>
      <c r="V66" s="46">
        <f>SUM(V67:V71)</f>
        <v>83650</v>
      </c>
      <c r="W66" s="46">
        <f>SUM(W67:W71)</f>
        <v>83650</v>
      </c>
      <c r="X66" s="46">
        <f>SUM(X67:X71)</f>
        <v>83650</v>
      </c>
      <c r="Y66" s="46">
        <f>SUM(Y67:Y71)</f>
        <v>81250</v>
      </c>
      <c r="Z66" s="46">
        <f>SUMIF($B$13:$Y$13,"Yes",B66:Y66)</f>
        <v>1219792.857142857</v>
      </c>
      <c r="AA66" s="46">
        <f>SUM(B66:M66)</f>
        <v>1119000</v>
      </c>
      <c r="AB66" s="46">
        <f>SUM(B66:Y66)</f>
        <v>2237999.999999999</v>
      </c>
    </row>
    <row r="67" spans="1:30" hidden="true" outlineLevel="1">
      <c r="A67" s="181" t="str">
        <f>Calculations!$A$4</f>
        <v>Wheat</v>
      </c>
      <c r="B67" s="36">
        <f>N67</f>
        <v>81250</v>
      </c>
      <c r="C67" s="36">
        <f>O67</f>
        <v>81250</v>
      </c>
      <c r="D67" s="36">
        <f>P67</f>
        <v>81250</v>
      </c>
      <c r="E67" s="36">
        <f>Q67</f>
        <v>81250</v>
      </c>
      <c r="F67" s="36">
        <f>R67</f>
        <v>81250</v>
      </c>
      <c r="G67" s="36">
        <f>S67</f>
        <v>81250</v>
      </c>
      <c r="H67" s="36">
        <f>T67</f>
        <v>81250</v>
      </c>
      <c r="I67" s="36">
        <f>U67</f>
        <v>81250</v>
      </c>
      <c r="J67" s="36">
        <f>V67</f>
        <v>81250</v>
      </c>
      <c r="K67" s="36">
        <f>W67</f>
        <v>81250</v>
      </c>
      <c r="L67" s="36">
        <f>X67</f>
        <v>81250</v>
      </c>
      <c r="M67" s="36">
        <f>Y67</f>
        <v>81250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81250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81250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81250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81250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81250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81250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81250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81250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81250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81250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81250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81250</v>
      </c>
      <c r="Z67" s="46">
        <f>SUMIF($B$13:$Y$13,"Yes",B67:Y67)</f>
        <v>1056250</v>
      </c>
      <c r="AA67" s="46">
        <f>SUM(B67:M67)</f>
        <v>975000</v>
      </c>
      <c r="AB67" s="46">
        <f>SUM(B67:Y67)</f>
        <v>1950000</v>
      </c>
    </row>
    <row r="68" spans="1:30" hidden="true" outlineLevel="1">
      <c r="A68" s="181" t="str">
        <f>Calculations!$A$5</f>
        <v>Maize</v>
      </c>
      <c r="B68" s="36">
        <f>N68</f>
        <v>17142.85714285714</v>
      </c>
      <c r="C68" s="36">
        <f>O68</f>
        <v>17142.85714285714</v>
      </c>
      <c r="D68" s="36">
        <f>P68</f>
        <v>17142.85714285714</v>
      </c>
      <c r="E68" s="36">
        <f>Q68</f>
        <v>17142.85714285714</v>
      </c>
      <c r="F68" s="36">
        <f>R68</f>
        <v>17142.85714285714</v>
      </c>
      <c r="G68" s="36">
        <f>S68</f>
        <v>17142.85714285714</v>
      </c>
      <c r="H68" s="36">
        <f>T68</f>
        <v>17142.85714285714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17142.85714285714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17142.85714285714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17142.85714285714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17142.85714285714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17142.85714285714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17142.85714285714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17142.85714285714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137142.8571428571</v>
      </c>
      <c r="AA68" s="46">
        <f>SUM(B68:M68)</f>
        <v>120000</v>
      </c>
      <c r="AB68" s="46">
        <f>SUM(B68:Y68)</f>
        <v>239999.9999999999</v>
      </c>
    </row>
    <row r="69" spans="1:30" hidden="true" outlineLevel="1">
      <c r="A69" s="181" t="str">
        <f>Calculations!$A$6</f>
        <v>Potatoes</v>
      </c>
      <c r="B69" s="36">
        <f>N69</f>
        <v>2400</v>
      </c>
      <c r="C69" s="36">
        <f>O69</f>
        <v>2400</v>
      </c>
      <c r="D69" s="36">
        <f>P69</f>
        <v>2400</v>
      </c>
      <c r="E69" s="36">
        <f>Q69</f>
        <v>2400</v>
      </c>
      <c r="F69" s="36">
        <f>R69</f>
        <v>2400</v>
      </c>
      <c r="G69" s="36">
        <f>S69</f>
        <v>0</v>
      </c>
      <c r="H69" s="36">
        <f>T69</f>
        <v>2400</v>
      </c>
      <c r="I69" s="36">
        <f>U69</f>
        <v>2400</v>
      </c>
      <c r="J69" s="36">
        <f>V69</f>
        <v>2400</v>
      </c>
      <c r="K69" s="36">
        <f>W69</f>
        <v>2400</v>
      </c>
      <c r="L69" s="36">
        <f>X69</f>
        <v>2400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2400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2400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2400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2400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2400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2400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2400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2400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2400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2400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26400</v>
      </c>
      <c r="AA69" s="46">
        <f>SUM(B69:M69)</f>
        <v>24000</v>
      </c>
      <c r="AB69" s="46">
        <f>SUM(B69:Y69)</f>
        <v>48000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5666.666666666667</v>
      </c>
      <c r="C75" s="46">
        <f>SUM(Calculations!$R$14:$R$16)/12</f>
        <v>5666.666666666667</v>
      </c>
      <c r="D75" s="46">
        <f>SUM(Calculations!$R$14:$R$16)/12</f>
        <v>5666.666666666667</v>
      </c>
      <c r="E75" s="46">
        <f>SUM(Calculations!$R$14:$R$16)/12</f>
        <v>5666.666666666667</v>
      </c>
      <c r="F75" s="46">
        <f>SUM(Calculations!$R$14:$R$16)/12</f>
        <v>5666.666666666667</v>
      </c>
      <c r="G75" s="46">
        <f>SUM(Calculations!$R$14:$R$16)/12</f>
        <v>5666.666666666667</v>
      </c>
      <c r="H75" s="46">
        <f>SUM(Calculations!$R$14:$R$16)/12</f>
        <v>5666.666666666667</v>
      </c>
      <c r="I75" s="46">
        <f>SUM(Calculations!$R$14:$R$16)/12</f>
        <v>5666.666666666667</v>
      </c>
      <c r="J75" s="46">
        <f>SUM(Calculations!$R$14:$R$16)/12</f>
        <v>5666.666666666667</v>
      </c>
      <c r="K75" s="46">
        <f>SUM(Calculations!$R$14:$R$16)/12</f>
        <v>5666.666666666667</v>
      </c>
      <c r="L75" s="46">
        <f>SUM(Calculations!$R$14:$R$16)/12</f>
        <v>5666.666666666667</v>
      </c>
      <c r="M75" s="46">
        <f>SUM(Calculations!$R$14:$R$16)/12</f>
        <v>5666.666666666667</v>
      </c>
      <c r="N75" s="46">
        <f>SUM(Calculations!$R$14:$R$16)/12</f>
        <v>5666.666666666667</v>
      </c>
      <c r="O75" s="46">
        <f>SUM(Calculations!$R$14:$R$16)/12</f>
        <v>5666.666666666667</v>
      </c>
      <c r="P75" s="46">
        <f>SUM(Calculations!$R$14:$R$16)/12</f>
        <v>5666.666666666667</v>
      </c>
      <c r="Q75" s="46">
        <f>SUM(Calculations!$R$14:$R$16)/12</f>
        <v>5666.666666666667</v>
      </c>
      <c r="R75" s="46">
        <f>SUM(Calculations!$R$14:$R$16)/12</f>
        <v>5666.666666666667</v>
      </c>
      <c r="S75" s="46">
        <f>SUM(Calculations!$R$14:$R$16)/12</f>
        <v>5666.666666666667</v>
      </c>
      <c r="T75" s="46">
        <f>SUM(Calculations!$R$14:$R$16)/12</f>
        <v>5666.666666666667</v>
      </c>
      <c r="U75" s="46">
        <f>SUM(Calculations!$R$14:$R$16)/12</f>
        <v>5666.666666666667</v>
      </c>
      <c r="V75" s="46">
        <f>SUM(Calculations!$R$14:$R$16)/12</f>
        <v>5666.666666666667</v>
      </c>
      <c r="W75" s="46">
        <f>SUM(Calculations!$R$14:$R$16)/12</f>
        <v>5666.666666666667</v>
      </c>
      <c r="X75" s="46">
        <f>SUM(Calculations!$R$14:$R$16)/12</f>
        <v>5666.666666666667</v>
      </c>
      <c r="Y75" s="46">
        <f>SUM(Calculations!$R$14:$R$16)/12</f>
        <v>5666.666666666667</v>
      </c>
      <c r="Z75" s="46">
        <f>SUMIF($B$13:$Y$13,"Yes",B75:Y75)</f>
        <v>73666.66666666666</v>
      </c>
      <c r="AA75" s="46">
        <f>SUM(B75:M75)</f>
        <v>67999.99999999999</v>
      </c>
      <c r="AB75" s="46">
        <f>SUM(B75:Y75)</f>
        <v>136000</v>
      </c>
    </row>
    <row r="76" spans="1:30">
      <c r="A76" s="16" t="s">
        <v>48</v>
      </c>
      <c r="B76" s="46">
        <f>SUM(Calculations!$S$14:$S$16)/12</f>
        <v>8000</v>
      </c>
      <c r="C76" s="46">
        <f>SUM(Calculations!$S$14:$S$16)/12</f>
        <v>8000</v>
      </c>
      <c r="D76" s="46">
        <f>SUM(Calculations!$S$14:$S$16)/12</f>
        <v>8000</v>
      </c>
      <c r="E76" s="46">
        <f>SUM(Calculations!$S$14:$S$16)/12</f>
        <v>8000</v>
      </c>
      <c r="F76" s="46">
        <f>SUM(Calculations!$S$14:$S$16)/12</f>
        <v>8000</v>
      </c>
      <c r="G76" s="46">
        <f>SUM(Calculations!$S$14:$S$16)/12</f>
        <v>8000</v>
      </c>
      <c r="H76" s="46">
        <f>SUM(Calculations!$S$14:$S$16)/12</f>
        <v>8000</v>
      </c>
      <c r="I76" s="46">
        <f>SUM(Calculations!$S$14:$S$16)/12</f>
        <v>8000</v>
      </c>
      <c r="J76" s="46">
        <f>SUM(Calculations!$S$14:$S$16)/12</f>
        <v>8000</v>
      </c>
      <c r="K76" s="46">
        <f>SUM(Calculations!$S$14:$S$16)/12</f>
        <v>8000</v>
      </c>
      <c r="L76" s="46">
        <f>SUM(Calculations!$S$14:$S$16)/12</f>
        <v>8000</v>
      </c>
      <c r="M76" s="46">
        <f>SUM(Calculations!$S$14:$S$16)/12</f>
        <v>8000</v>
      </c>
      <c r="N76" s="46">
        <f>SUM(Calculations!$S$14:$S$16)/12</f>
        <v>8000</v>
      </c>
      <c r="O76" s="46">
        <f>SUM(Calculations!$S$14:$S$16)/12</f>
        <v>8000</v>
      </c>
      <c r="P76" s="46">
        <f>SUM(Calculations!$S$14:$S$16)/12</f>
        <v>8000</v>
      </c>
      <c r="Q76" s="46">
        <f>SUM(Calculations!$S$14:$S$16)/12</f>
        <v>8000</v>
      </c>
      <c r="R76" s="46">
        <f>SUM(Calculations!$S$14:$S$16)/12</f>
        <v>8000</v>
      </c>
      <c r="S76" s="46">
        <f>SUM(Calculations!$S$14:$S$16)/12</f>
        <v>8000</v>
      </c>
      <c r="T76" s="46">
        <f>SUM(Calculations!$S$14:$S$16)/12</f>
        <v>8000</v>
      </c>
      <c r="U76" s="46">
        <f>SUM(Calculations!$S$14:$S$16)/12</f>
        <v>8000</v>
      </c>
      <c r="V76" s="46">
        <f>SUM(Calculations!$S$14:$S$16)/12</f>
        <v>8000</v>
      </c>
      <c r="W76" s="46">
        <f>SUM(Calculations!$S$14:$S$16)/12</f>
        <v>8000</v>
      </c>
      <c r="X76" s="46">
        <f>SUM(Calculations!$S$14:$S$16)/12</f>
        <v>8000</v>
      </c>
      <c r="Y76" s="46">
        <f>SUM(Calculations!$S$14:$S$16)/12</f>
        <v>8000</v>
      </c>
      <c r="Z76" s="46">
        <f>SUMIF($B$13:$Y$13,"Yes",B76:Y76)</f>
        <v>104000</v>
      </c>
      <c r="AA76" s="46">
        <f>SUM(B76:M76)</f>
        <v>96000</v>
      </c>
      <c r="AB76" s="46">
        <f>SUM(B76:Y76)</f>
        <v>192000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190344.3067152396</v>
      </c>
      <c r="C81" s="46">
        <f>(SUM($AA$18:$AA$29)-SUM($AA$36,$AA$42,$AA$48,$AA$54,$AA$60,$AA$66,$AA$72:$AA$79))*Parameters!$B$37/12</f>
        <v>190344.3067152396</v>
      </c>
      <c r="D81" s="46">
        <f>(SUM($AA$18:$AA$29)-SUM($AA$36,$AA$42,$AA$48,$AA$54,$AA$60,$AA$66,$AA$72:$AA$79))*Parameters!$B$37/12</f>
        <v>190344.3067152396</v>
      </c>
      <c r="E81" s="46">
        <f>(SUM($AA$18:$AA$29)-SUM($AA$36,$AA$42,$AA$48,$AA$54,$AA$60,$AA$66,$AA$72:$AA$79))*Parameters!$B$37/12</f>
        <v>190344.3067152396</v>
      </c>
      <c r="F81" s="46">
        <f>(SUM($AA$18:$AA$29)-SUM($AA$36,$AA$42,$AA$48,$AA$54,$AA$60,$AA$66,$AA$72:$AA$79))*Parameters!$B$37/12</f>
        <v>190344.3067152396</v>
      </c>
      <c r="G81" s="46">
        <f>(SUM($AA$18:$AA$29)-SUM($AA$36,$AA$42,$AA$48,$AA$54,$AA$60,$AA$66,$AA$72:$AA$79))*Parameters!$B$37/12</f>
        <v>190344.3067152396</v>
      </c>
      <c r="H81" s="46">
        <f>(SUM($AA$18:$AA$29)-SUM($AA$36,$AA$42,$AA$48,$AA$54,$AA$60,$AA$66,$AA$72:$AA$79))*Parameters!$B$37/12</f>
        <v>190344.3067152396</v>
      </c>
      <c r="I81" s="46">
        <f>(SUM($AA$18:$AA$29)-SUM($AA$36,$AA$42,$AA$48,$AA$54,$AA$60,$AA$66,$AA$72:$AA$79))*Parameters!$B$37/12</f>
        <v>190344.3067152396</v>
      </c>
      <c r="J81" s="46">
        <f>(SUM($AA$18:$AA$29)-SUM($AA$36,$AA$42,$AA$48,$AA$54,$AA$60,$AA$66,$AA$72:$AA$79))*Parameters!$B$37/12</f>
        <v>190344.3067152396</v>
      </c>
      <c r="K81" s="46">
        <f>(SUM($AA$18:$AA$29)-SUM($AA$36,$AA$42,$AA$48,$AA$54,$AA$60,$AA$66,$AA$72:$AA$79))*Parameters!$B$37/12</f>
        <v>190344.3067152396</v>
      </c>
      <c r="L81" s="46">
        <f>(SUM($AA$18:$AA$29)-SUM($AA$36,$AA$42,$AA$48,$AA$54,$AA$60,$AA$66,$AA$72:$AA$79))*Parameters!$B$37/12</f>
        <v>190344.3067152396</v>
      </c>
      <c r="M81" s="46">
        <f>(SUM($AA$18:$AA$29)-SUM($AA$36,$AA$42,$AA$48,$AA$54,$AA$60,$AA$66,$AA$72:$AA$79))*Parameters!$B$37/12</f>
        <v>190344.3067152396</v>
      </c>
      <c r="N81" s="46">
        <f>(SUM($AA$18:$AA$29)-SUM($AA$36,$AA$42,$AA$48,$AA$54,$AA$60,$AA$66,$AA$72:$AA$79))*Parameters!$B$37/12</f>
        <v>190344.3067152396</v>
      </c>
      <c r="O81" s="46">
        <f>(SUM($AA$18:$AA$29)-SUM($AA$36,$AA$42,$AA$48,$AA$54,$AA$60,$AA$66,$AA$72:$AA$79))*Parameters!$B$37/12</f>
        <v>190344.3067152396</v>
      </c>
      <c r="P81" s="46">
        <f>(SUM($AA$18:$AA$29)-SUM($AA$36,$AA$42,$AA$48,$AA$54,$AA$60,$AA$66,$AA$72:$AA$79))*Parameters!$B$37/12</f>
        <v>190344.3067152396</v>
      </c>
      <c r="Q81" s="46">
        <f>(SUM($AA$18:$AA$29)-SUM($AA$36,$AA$42,$AA$48,$AA$54,$AA$60,$AA$66,$AA$72:$AA$79))*Parameters!$B$37/12</f>
        <v>190344.3067152396</v>
      </c>
      <c r="R81" s="46">
        <f>(SUM($AA$18:$AA$29)-SUM($AA$36,$AA$42,$AA$48,$AA$54,$AA$60,$AA$66,$AA$72:$AA$79))*Parameters!$B$37/12</f>
        <v>190344.3067152396</v>
      </c>
      <c r="S81" s="46">
        <f>(SUM($AA$18:$AA$29)-SUM($AA$36,$AA$42,$AA$48,$AA$54,$AA$60,$AA$66,$AA$72:$AA$79))*Parameters!$B$37/12</f>
        <v>190344.3067152396</v>
      </c>
      <c r="T81" s="46">
        <f>(SUM($AA$18:$AA$29)-SUM($AA$36,$AA$42,$AA$48,$AA$54,$AA$60,$AA$66,$AA$72:$AA$79))*Parameters!$B$37/12</f>
        <v>190344.3067152396</v>
      </c>
      <c r="U81" s="46">
        <f>(SUM($AA$18:$AA$29)-SUM($AA$36,$AA$42,$AA$48,$AA$54,$AA$60,$AA$66,$AA$72:$AA$79))*Parameters!$B$37/12</f>
        <v>190344.3067152396</v>
      </c>
      <c r="V81" s="46">
        <f>(SUM($AA$18:$AA$29)-SUM($AA$36,$AA$42,$AA$48,$AA$54,$AA$60,$AA$66,$AA$72:$AA$79))*Parameters!$B$37/12</f>
        <v>190344.3067152396</v>
      </c>
      <c r="W81" s="46">
        <f>(SUM($AA$18:$AA$29)-SUM($AA$36,$AA$42,$AA$48,$AA$54,$AA$60,$AA$66,$AA$72:$AA$79))*Parameters!$B$37/12</f>
        <v>190344.3067152396</v>
      </c>
      <c r="X81" s="46">
        <f>(SUM($AA$18:$AA$29)-SUM($AA$36,$AA$42,$AA$48,$AA$54,$AA$60,$AA$66,$AA$72:$AA$79))*Parameters!$B$37/12</f>
        <v>190344.3067152396</v>
      </c>
      <c r="Y81" s="46">
        <f>(SUM($AA$18:$AA$29)-SUM($AA$36,$AA$42,$AA$48,$AA$54,$AA$60,$AA$66,$AA$72:$AA$79))*Parameters!$B$37/12</f>
        <v>190344.3067152396</v>
      </c>
      <c r="Z81" s="46">
        <f>SUMIF($B$13:$Y$13,"Yes",B81:Y81)</f>
        <v>2474475.987298115</v>
      </c>
      <c r="AA81" s="46">
        <f>SUM(B81:M81)</f>
        <v>2284131.680582875</v>
      </c>
      <c r="AB81" s="46">
        <f>SUM(B81:Y81)</f>
        <v>4568263.361165752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918423.8305247633</v>
      </c>
      <c r="C88" s="19">
        <f>SUM(C72:C82,C66,C60,C54,C48,C42,C36)</f>
        <v>309803.8305247634</v>
      </c>
      <c r="D88" s="19">
        <f>SUM(D72:D82,D66,D60,D54,D48,D42,D36)</f>
        <v>327003.8305247634</v>
      </c>
      <c r="E88" s="19">
        <f>SUM(E72:E82,E66,E60,E54,E48,E42,E36)</f>
        <v>321803.8305247634</v>
      </c>
      <c r="F88" s="19">
        <f>SUM(F72:F82,F66,F60,F54,F48,F42,F36)</f>
        <v>309803.8305247634</v>
      </c>
      <c r="G88" s="19">
        <f>SUM(G72:G82,G66,G60,G54,G48,G42,G36)</f>
        <v>307403.8305247634</v>
      </c>
      <c r="H88" s="19">
        <f>SUM(H72:H82,H66,H60,H54,H48,H42,H36)</f>
        <v>1025762.296946308</v>
      </c>
      <c r="I88" s="19">
        <f>SUM(I72:I82,I66,I60,I54,I48,I42,I36)</f>
        <v>292660.9733819062</v>
      </c>
      <c r="J88" s="19">
        <f>SUM(J72:J82,J66,J60,J54,J48,J42,J36)</f>
        <v>309860.9733819062</v>
      </c>
      <c r="K88" s="19">
        <f>SUM(K72:K82,K66,K60,K54,K48,K42,K36)</f>
        <v>292660.9733819062</v>
      </c>
      <c r="L88" s="19">
        <f>SUM(L72:L82,L66,L60,L54,L48,L42,L36)</f>
        <v>292660.9733819062</v>
      </c>
      <c r="M88" s="19">
        <f>SUM(M72:M82,M66,M60,M54,M48,M42,M36)</f>
        <v>290260.9733819062</v>
      </c>
      <c r="N88" s="19">
        <f>SUM(N72:N82,N66,N60,N54,N48,N42,N36)</f>
        <v>918423.8305247633</v>
      </c>
      <c r="O88" s="19">
        <f>SUM(O72:O82,O66,O60,O54,O48,O42,O36)</f>
        <v>309803.8305247634</v>
      </c>
      <c r="P88" s="19">
        <f>SUM(P72:P82,P66,P60,P54,P48,P42,P36)</f>
        <v>327003.8305247634</v>
      </c>
      <c r="Q88" s="19">
        <f>SUM(Q72:Q82,Q66,Q60,Q54,Q48,Q42,Q36)</f>
        <v>321803.8305247634</v>
      </c>
      <c r="R88" s="19">
        <f>SUM(R72:R82,R66,R60,R54,R48,R42,R36)</f>
        <v>309803.8305247634</v>
      </c>
      <c r="S88" s="19">
        <f>SUM(S72:S82,S66,S60,S54,S48,S42,S36)</f>
        <v>307403.8305247634</v>
      </c>
      <c r="T88" s="19">
        <f>SUM(T72:T82,T66,T60,T54,T48,T42,T36)</f>
        <v>1025762.296946308</v>
      </c>
      <c r="U88" s="19">
        <f>SUM(U72:U82,U66,U60,U54,U48,U42,U36)</f>
        <v>292660.9733819062</v>
      </c>
      <c r="V88" s="19">
        <f>SUM(V72:V82,V66,V60,V54,V48,V42,V36)</f>
        <v>309860.9733819062</v>
      </c>
      <c r="W88" s="19">
        <f>SUM(W72:W82,W66,W60,W54,W48,W42,W36)</f>
        <v>292660.9733819062</v>
      </c>
      <c r="X88" s="19">
        <f>SUM(X72:X82,X66,X60,X54,X48,X42,X36)</f>
        <v>292660.9733819062</v>
      </c>
      <c r="Y88" s="19">
        <f>SUM(Y72:Y82,Y66,Y60,Y54,Y48,Y42,Y36)</f>
        <v>290260.9733819062</v>
      </c>
      <c r="Z88" s="19">
        <f>SUMIF($B$13:$Y$13,"Yes",B88:Y88)</f>
        <v>5916533.977529181</v>
      </c>
      <c r="AA88" s="19">
        <f>SUM(B88:M88)</f>
        <v>4998110.147004418</v>
      </c>
      <c r="AB88" s="19">
        <f>SUM(B88:Y88)</f>
        <v>9996220.294008838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</v>
      </c>
    </row>
    <row r="95" spans="1:30">
      <c r="A95" t="s">
        <v>61</v>
      </c>
      <c r="B95" s="36">
        <f>Inputs!B47</f>
        <v>1400000</v>
      </c>
    </row>
    <row r="96" spans="1:30">
      <c r="A96" t="s">
        <v>62</v>
      </c>
      <c r="B96" s="36">
        <f>SUMPRODUCT(Inputs!C19:C21,Calculations!O14:O16)</f>
        <v>2250000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42350000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1200000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48895000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1000000</v>
      </c>
    </row>
    <row r="107" spans="1:30" customHeight="1" ht="15.75">
      <c r="A107" s="1" t="s">
        <v>72</v>
      </c>
      <c r="B107" s="19">
        <f>SUM(B104:B106)</f>
        <v>1006000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130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94</v>
      </c>
      <c r="B8" s="16"/>
      <c r="C8" s="143">
        <v>20</v>
      </c>
      <c r="D8" s="16"/>
      <c r="E8" s="147" t="s">
        <v>90</v>
      </c>
      <c r="F8" s="149" t="s">
        <v>91</v>
      </c>
      <c r="G8" s="147"/>
      <c r="H8" s="147" t="s">
        <v>95</v>
      </c>
      <c r="I8" s="147" t="s">
        <v>92</v>
      </c>
      <c r="J8" s="148" t="s">
        <v>93</v>
      </c>
      <c r="K8" s="138"/>
      <c r="L8" s="16"/>
      <c r="M8" s="165">
        <v>0</v>
      </c>
      <c r="N8" s="154">
        <v>1</v>
      </c>
    </row>
    <row r="9" spans="1:48">
      <c r="A9" s="143" t="s">
        <v>96</v>
      </c>
      <c r="B9" s="16"/>
      <c r="C9" s="143">
        <v>4</v>
      </c>
      <c r="D9" s="16"/>
      <c r="E9" s="147" t="s">
        <v>90</v>
      </c>
      <c r="F9" s="149" t="s">
        <v>91</v>
      </c>
      <c r="G9" s="147"/>
      <c r="H9" s="147" t="s">
        <v>95</v>
      </c>
      <c r="I9" s="147" t="s">
        <v>92</v>
      </c>
      <c r="J9" s="148" t="s">
        <v>93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30</v>
      </c>
      <c r="D19" s="145"/>
      <c r="E19" s="20"/>
      <c r="F19" s="145" t="s">
        <v>92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250</v>
      </c>
      <c r="D20" s="147"/>
      <c r="E20" s="16"/>
      <c r="F20" s="147" t="s">
        <v>92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25000</v>
      </c>
    </row>
    <row r="31" spans="1:48">
      <c r="A31" s="5" t="s">
        <v>119</v>
      </c>
      <c r="B31" s="158">
        <v>5000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95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95</v>
      </c>
    </row>
    <row r="45" spans="1:48">
      <c r="A45" s="56" t="s">
        <v>132</v>
      </c>
      <c r="B45" s="161">
        <v>450000</v>
      </c>
    </row>
    <row r="46" spans="1:48" customHeight="1" ht="30">
      <c r="A46" s="57" t="s">
        <v>133</v>
      </c>
      <c r="B46" s="161">
        <v>1200000</v>
      </c>
    </row>
    <row r="47" spans="1:48" customHeight="1" ht="30">
      <c r="A47" s="57" t="s">
        <v>134</v>
      </c>
      <c r="B47" s="161">
        <v>1400000</v>
      </c>
    </row>
    <row r="48" spans="1:48" customHeight="1" ht="30">
      <c r="A48" s="57" t="s">
        <v>135</v>
      </c>
      <c r="B48" s="161">
        <v>1200000</v>
      </c>
    </row>
    <row r="49" spans="1:48" customHeight="1" ht="30">
      <c r="A49" s="57" t="s">
        <v>136</v>
      </c>
      <c r="B49" s="161">
        <v>45000</v>
      </c>
    </row>
    <row r="50" spans="1:48">
      <c r="A50" s="43"/>
      <c r="B50" s="36"/>
    </row>
    <row r="51" spans="1:48">
      <c r="A51" s="58" t="s">
        <v>137</v>
      </c>
      <c r="B51" s="161">
        <v>6000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2800000</v>
      </c>
      <c r="B56" s="159">
        <v>0</v>
      </c>
      <c r="C56" s="162" t="s">
        <v>145</v>
      </c>
      <c r="D56" s="163" t="s">
        <v>146</v>
      </c>
      <c r="E56" s="163" t="s">
        <v>95</v>
      </c>
      <c r="F56" s="163" t="s">
        <v>147</v>
      </c>
    </row>
    <row r="57" spans="1:48">
      <c r="A57" s="157">
        <v>1000000</v>
      </c>
      <c r="B57" s="157">
        <v>0</v>
      </c>
      <c r="C57" s="164" t="s">
        <v>148</v>
      </c>
      <c r="D57" s="165" t="s">
        <v>149</v>
      </c>
      <c r="E57" s="165" t="s">
        <v>95</v>
      </c>
      <c r="F57" s="165" t="s">
        <v>150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152</v>
      </c>
      <c r="C65" s="10" t="s">
        <v>153</v>
      </c>
    </row>
    <row r="66" spans="1:48">
      <c r="A66" s="142" t="s">
        <v>154</v>
      </c>
      <c r="B66" s="159">
        <v>452310</v>
      </c>
      <c r="C66" s="163">
        <v>432514</v>
      </c>
      <c r="D66" s="49">
        <f>INDEX(Parameters!$D$79:$D$90,MATCH(Inputs!A66,Parameters!$C$79:$C$90,0))</f>
        <v>8</v>
      </c>
    </row>
    <row r="67" spans="1:48">
      <c r="A67" s="143" t="s">
        <v>155</v>
      </c>
      <c r="B67" s="157">
        <v>658741</v>
      </c>
      <c r="C67" s="165">
        <v>586320</v>
      </c>
      <c r="D67" s="49">
        <f>INDEX(Parameters!$D$79:$D$90,MATCH(Inputs!A67,Parameters!$C$79:$C$90,0))</f>
        <v>9</v>
      </c>
    </row>
    <row r="68" spans="1:48">
      <c r="A68" s="143" t="s">
        <v>156</v>
      </c>
      <c r="B68" s="157">
        <v>853214</v>
      </c>
      <c r="C68" s="165">
        <v>754217</v>
      </c>
      <c r="D68" s="49">
        <f>INDEX(Parameters!$D$79:$D$90,MATCH(Inputs!A68,Parameters!$C$79:$C$90,0))</f>
        <v>10</v>
      </c>
    </row>
    <row r="69" spans="1:48">
      <c r="A69" s="143" t="s">
        <v>157</v>
      </c>
      <c r="B69" s="157">
        <v>1965321</v>
      </c>
      <c r="C69" s="165">
        <v>1085632</v>
      </c>
      <c r="D69" s="49">
        <f>INDEX(Parameters!$D$79:$D$90,MATCH(Inputs!A69,Parameters!$C$79:$C$90,0))</f>
        <v>11</v>
      </c>
    </row>
    <row r="70" spans="1:48">
      <c r="A70" s="143" t="s">
        <v>158</v>
      </c>
      <c r="B70" s="157">
        <v>1245235</v>
      </c>
      <c r="C70" s="165">
        <v>1025457</v>
      </c>
      <c r="D70" s="49">
        <f>INDEX(Parameters!$D$79:$D$90,MATCH(Inputs!A70,Parameters!$C$79:$C$90,0))</f>
        <v>12</v>
      </c>
    </row>
    <row r="71" spans="1:48">
      <c r="A71" s="144" t="s">
        <v>159</v>
      </c>
      <c r="B71" s="158">
        <v>2500523</v>
      </c>
      <c r="C71" s="167">
        <v>150521</v>
      </c>
      <c r="D71" s="49">
        <f>INDEX(Parameters!$D$79:$D$90,MATCH(Inputs!A71,Parameters!$C$79:$C$90,0))</f>
        <v>1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15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1000000</v>
      </c>
    </row>
    <row r="82" spans="1:48">
      <c r="A82" t="s">
        <v>169</v>
      </c>
      <c r="B82" s="161">
        <v>18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42767</v>
      </c>
      <c r="C4" s="38">
        <f>IFERROR(DATE(YEAR(B4),MONTH(B4)+ROUND(T4/2,0),DAY(B4)),B4)</f>
        <v>42856</v>
      </c>
      <c r="D4" s="38">
        <f>IFERROR(DATE(YEAR(B4),MONTH(B4)+T4,DAY(B4)),"")</f>
        <v>42917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43101</v>
      </c>
      <c r="H4" s="20">
        <f>Inputs!C7</f>
        <v>130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933.898</v>
      </c>
      <c r="M4" s="25">
        <f>L4*H4</f>
        <v>121406.74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6628808.004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500500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975000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42856</v>
      </c>
      <c r="D5" s="39">
        <f>IFERROR(DATE(YEAR(B5),MONTH(B5)+T5,DAY(B5)),"")</f>
        <v>42948</v>
      </c>
      <c r="E5" s="39">
        <f>IFERROR(IF($S5=0,"",IF($S5=2,DATE(YEAR(B5),MONTH(B5)+6,DAY(B5)),IF($S5=1,B5,""))),"")</f>
        <v>42767</v>
      </c>
      <c r="F5" s="39">
        <f>IFERROR(IF($S5=0,"",IF($S5=2,DATE(YEAR(C5),MONTH(C5)+6,DAY(C5)),IF($S5=1,C5,""))),"")</f>
        <v>42856</v>
      </c>
      <c r="G5" s="39">
        <f>IFERROR(IF($S5=0,"",IF($S5=2,DATE(YEAR(D5),MONTH(D5)+6,DAY(D5)),IF($S5=1,D5,""))),"")</f>
        <v>42948</v>
      </c>
      <c r="H5" s="16">
        <f>Inputs!C8</f>
        <v>20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1298.461591538526</v>
      </c>
      <c r="M5" s="30">
        <f>L5*H5</f>
        <v>25969.23183077052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545353.8684461809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6060.000000000001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59729.2332107722</v>
      </c>
      <c r="AB5" s="34">
        <f>H5*IFERROR(INDEX(Parameters!$A$3:$AI$17,MATCH(Calculations!A5,Parameters!$A$3:$A$17,0),MATCH(Parameters!$O$3,Parameters!$A$3:$AI$3,0)),AVERAGE(Parameters!$O$4:$O$17))*(1-Inputs!$B$25/100)</f>
        <v>120000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Potatoes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42767</v>
      </c>
      <c r="C6" s="39">
        <f>IFERROR(DATE(YEAR(B6),MONTH(B6)+ROUND(T6/2,0),DAY(B6)),B6)</f>
        <v>42826</v>
      </c>
      <c r="D6" s="39">
        <f>IFERROR(DATE(YEAR(B6),MONTH(B6)+T6,DAY(B6)),"")</f>
        <v>42887</v>
      </c>
      <c r="E6" s="39">
        <f>IFERROR(IF($S6=0,"",IF($S6=2,DATE(YEAR(B6),MONTH(B6)+6,DAY(B6)),IF($S6=1,B6,""))),"")</f>
        <v>42948</v>
      </c>
      <c r="F6" s="39">
        <f>IFERROR(IF($S6=0,"",IF($S6=2,DATE(YEAR(C6),MONTH(C6)+6,DAY(C6)),IF($S6=1,C6,""))),"")</f>
        <v>43009</v>
      </c>
      <c r="G6" s="39">
        <f>IFERROR(IF($S6=0,"",IF($S6=2,DATE(YEAR(D6),MONTH(D6)+6,DAY(D6)),IF($S6=1,D6,""))),"")</f>
        <v>43070</v>
      </c>
      <c r="H6" s="16">
        <f>Inputs!C9</f>
        <v>4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200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4882.641078335685</v>
      </c>
      <c r="M6" s="30">
        <f>L6*H6</f>
        <v>19530.56431334274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11.2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415610.4085879335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96000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17200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24000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30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230000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18000</v>
      </c>
      <c r="S14" s="63">
        <f>IFERROR(D14*INDEX(Parameters!$A$22:$P$29,MATCH(Calculations!$A14,Parameters!$A$22:$A$29,0),MATCH(Parameters!$N$22,Parameters!$A$22:$P$22,0)),"")</f>
        <v>21000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250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250000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50000</v>
      </c>
      <c r="S15" s="64">
        <f>IFERROR(D15*INDEX(Parameters!$A$22:$P$29,MATCH(Calculations!$A15,Parameters!$A$22:$A$29,0),MATCH(Parameters!$N$22,Parameters!$A$22:$P$22,0)),"")</f>
        <v>75000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2800000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42814</v>
      </c>
      <c r="C33" s="27">
        <f>IF(B33&lt;&gt;"",IF(COUNT($A$33:A33)&lt;=$G$39,0,$G$41)+IF(COUNT($A$33:A33)&lt;=$G$40,0,$G$42),0)</f>
        <v>98333.33333333333</v>
      </c>
      <c r="D33" s="170">
        <f>IFERROR(DATE(YEAR(B33),MONTH(B33),1)," ")</f>
        <v>42795</v>
      </c>
      <c r="F33" t="s">
        <v>165</v>
      </c>
      <c r="G33" s="128">
        <f>IF(Inputs!B79="","",DATE(YEAR(Inputs!B79),MONTH(Inputs!B79),DAY(Inputs!B79)))</f>
        <v>42786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42845</v>
      </c>
      <c r="C34" s="27">
        <f>IF(B34&lt;&gt;"",IF(COUNT($A$33:A34)&lt;=$G$39,0,$G$41)+IF(COUNT($A$33:A34)&lt;=$G$40,0,$G$42),0)</f>
        <v>98333.33333333333</v>
      </c>
      <c r="D34" s="170">
        <f>IFERROR(DATE(YEAR(B34),MONTH(B34),1)," ")</f>
        <v>42826</v>
      </c>
      <c r="F34" t="s">
        <v>166</v>
      </c>
      <c r="G34" s="128">
        <f>IF(Inputs!B80="","",DATE(YEAR(Inputs!B80),MONTH(Inputs!B80),DAY(Inputs!B80)))</f>
        <v>42814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42875</v>
      </c>
      <c r="C35" s="27">
        <f>IF(B35&lt;&gt;"",IF(COUNT($A$33:A35)&lt;=$G$39,0,$G$41)+IF(COUNT($A$33:A35)&lt;=$G$40,0,$G$42),0)</f>
        <v>98333.33333333333</v>
      </c>
      <c r="D35" s="170">
        <f>IFERROR(DATE(YEAR(B35),MONTH(B35),1)," ")</f>
        <v>42856</v>
      </c>
      <c r="F35" t="s">
        <v>168</v>
      </c>
      <c r="G35" s="27">
        <f>Inputs!B81</f>
        <v>1000000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42906</v>
      </c>
      <c r="C36" s="27">
        <f>IF(B36&lt;&gt;"",IF(COUNT($A$33:A36)&lt;=$G$39,0,$G$41)+IF(COUNT($A$33:A36)&lt;=$G$40,0,$G$42),0)</f>
        <v>98333.33333333333</v>
      </c>
      <c r="D36" s="170">
        <f>IFERROR(DATE(YEAR(B36),MONTH(B36),1)," ")</f>
        <v>42887</v>
      </c>
      <c r="F36" t="s">
        <v>169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42936</v>
      </c>
      <c r="C37" s="27">
        <f>IF(B37&lt;&gt;"",IF(COUNT($A$33:A37)&lt;=$G$39,0,$G$41)+IF(COUNT($A$33:A37)&lt;=$G$40,0,$G$42),0)</f>
        <v>98333.33333333333</v>
      </c>
      <c r="D37" s="170">
        <f>IFERROR(DATE(YEAR(B37),MONTH(B37),1)," ")</f>
        <v>42917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42967</v>
      </c>
      <c r="C38" s="27">
        <f>IF(B38&lt;&gt;"",IF(COUNT($A$33:A38)&lt;=$G$39,0,$G$41)+IF(COUNT($A$33:A38)&lt;=$G$40,0,$G$42),0)</f>
        <v>98333.33333333333</v>
      </c>
      <c r="D38" s="170">
        <f>IFERROR(DATE(YEAR(B38),MONTH(B38),1)," ")</f>
        <v>42948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42998</v>
      </c>
      <c r="C39" s="27">
        <f>IF(B39&lt;&gt;"",IF(COUNT($A$33:A39)&lt;=$G$39,0,$G$41)+IF(COUNT($A$33:A39)&lt;=$G$40,0,$G$42),0)</f>
        <v>98333.33333333333</v>
      </c>
      <c r="D39" s="170">
        <f>IFERROR(DATE(YEAR(B39),MONTH(B39),1)," ")</f>
        <v>42979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43028</v>
      </c>
      <c r="C40" s="27">
        <f>IF(B40&lt;&gt;"",IF(COUNT($A$33:A40)&lt;=$G$39,0,$G$41)+IF(COUNT($A$33:A40)&lt;=$G$40,0,$G$42),0)</f>
        <v>98333.33333333333</v>
      </c>
      <c r="D40" s="170">
        <f>IFERROR(DATE(YEAR(B40),MONTH(B40),1)," ")</f>
        <v>43009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43059</v>
      </c>
      <c r="C41" s="27">
        <f>IF(B41&lt;&gt;"",IF(COUNT($A$33:A41)&lt;=$G$39,0,$G$41)+IF(COUNT($A$33:A41)&lt;=$G$40,0,$G$42),0)</f>
        <v>98333.33333333333</v>
      </c>
      <c r="D41" s="170">
        <f>IFERROR(DATE(YEAR(B41),MONTH(B41),1)," ")</f>
        <v>43040</v>
      </c>
      <c r="F41" t="s">
        <v>232</v>
      </c>
      <c r="G41" s="73">
        <f>IFERROR(G35/(G38-G39),"")</f>
        <v>83333.33333333333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43089</v>
      </c>
      <c r="C42" s="27">
        <f>IF(B42&lt;&gt;"",IF(COUNT($A$33:A42)&lt;=$G$39,0,$G$41)+IF(COUNT($A$33:A42)&lt;=$G$40,0,$G$42),0)</f>
        <v>98333.33333333333</v>
      </c>
      <c r="D42" s="170">
        <f>IFERROR(DATE(YEAR(B42),MONTH(B42),1)," ")</f>
        <v>43070</v>
      </c>
      <c r="F42" t="s">
        <v>233</v>
      </c>
      <c r="G42" s="73">
        <f>IFERROR(G35*G36*IF(G37="Monthly",G38/12,IF(G37="Fortnightly",G38/(365/14),G38/(365/28)))/(G38-G40),"")</f>
        <v>15000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43120</v>
      </c>
      <c r="C43" s="27">
        <f>IF(B43&lt;&gt;"",IF(COUNT($A$33:A43)&lt;=$G$39,0,$G$41)+IF(COUNT($A$33:A43)&lt;=$G$40,0,$G$42),0)</f>
        <v>98333.33333333333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43151</v>
      </c>
      <c r="C44" s="27">
        <f>IF(B44&lt;&gt;"",IF(COUNT($A$33:A44)&lt;=$G$39,0,$G$41)+IF(COUNT($A$33:A44)&lt;=$G$40,0,$G$42),0)</f>
        <v>98333.33333333333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96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206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301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300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112</v>
      </c>
      <c r="B27" s="71" t="s">
        <v>300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300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300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98</v>
      </c>
      <c r="B41" s="191" t="s">
        <v>92</v>
      </c>
      <c r="C41" s="191" t="s">
        <v>95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301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112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94</v>
      </c>
      <c r="E52" s="12" t="s">
        <v>94</v>
      </c>
      <c r="F52" s="12" t="s">
        <v>94</v>
      </c>
      <c r="G52" s="12" t="s">
        <v>316</v>
      </c>
      <c r="H52" s="12" t="s">
        <v>130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234</v>
      </c>
      <c r="E53" s="10" t="s">
        <v>193</v>
      </c>
      <c r="F53" s="10" t="s">
        <v>253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171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230</v>
      </c>
      <c r="J76" s="11" t="s">
        <v>350</v>
      </c>
      <c r="K76" s="11" t="s">
        <v>183</v>
      </c>
      <c r="AJ76" s="12"/>
    </row>
    <row r="77" spans="1:36">
      <c r="A77" t="s">
        <v>95</v>
      </c>
      <c r="B77" s="176">
        <v>0</v>
      </c>
      <c r="C77" s="12" t="s">
        <v>351</v>
      </c>
      <c r="E77" s="12" t="s">
        <v>92</v>
      </c>
      <c r="F77" s="12" t="s">
        <v>92</v>
      </c>
      <c r="G77" s="12" t="s">
        <v>111</v>
      </c>
      <c r="H77" s="12" t="s">
        <v>130</v>
      </c>
      <c r="I77" s="12" t="s">
        <v>352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317</v>
      </c>
      <c r="I78" s="12" t="s">
        <v>357</v>
      </c>
      <c r="J78" s="70" t="s">
        <v>358</v>
      </c>
      <c r="K78" s="12" t="s">
        <v>92</v>
      </c>
      <c r="AJ78" s="12"/>
    </row>
    <row r="79" spans="1:36">
      <c r="B79" s="176">
        <v>10</v>
      </c>
      <c r="C79" s="12" t="s">
        <v>159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171</v>
      </c>
      <c r="J79" s="70" t="s">
        <v>362</v>
      </c>
      <c r="K79" s="12" t="s">
        <v>92</v>
      </c>
      <c r="AJ79" s="12"/>
    </row>
    <row r="80" spans="1:36">
      <c r="B80" s="176">
        <v>20</v>
      </c>
      <c r="C80" s="12" t="s">
        <v>93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95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95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