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<sst xmlns="http://schemas.openxmlformats.org/spreadsheetml/2006/main" uniqueCount="366">
  <si>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</si>
  <si>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</si>
  <si>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</si>
  <si>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</si>
  <si>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</si>
  <si>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</si>
  <si>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</si>
  <si>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</si>
  <si>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</si>
  <si>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</si>
  <si>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</si>
  <si>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</si>
  <si>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</si>
  <si>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</si>
  <si>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</si>
  <si>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</si>
  <si>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</si>
  <si>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</si>
  <si>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</si>
  <si>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</si>
  <si>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</si>
  <si>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</si>
  <si>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</si>
  <si>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</si>
  <si>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</si>
  <si>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</si>
  <si>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</si>
  <si>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</si>
  <si>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</si>
  <si>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</si>
  <si>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</si>
  <si>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</si>
  <si>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</si>
  <si>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</si>
  <si>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</si>
  <si>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</si>
  <si>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</si>
  <si>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</si>
  <si>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</si>
  <si>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</si>
  <si>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</si>
  <si>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</si>
  <si>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</si>
  <si>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</si>
  <si>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</si>
  <si>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</si>
  <si>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</si>
  <si>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</si>
  <si>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</si>
  <si>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</si>
  <si>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</si>
  <si>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</si>
  <si>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</si>
  <si>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</si>
  <si>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</si>
  <si>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</si>
  <si>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</si>
  <si>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</si>
  <si>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</si>
  <si>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</si>
  <si>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</si>
  <si>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</si>
  <si>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</si>
  <si>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</si>
  <si>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</si>
  <si>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</si>
  <si>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</si>
  <si>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</si>
  <si>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</si>
  <si>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</si>
  <si>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</si>
  <si>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</si>
  <si>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</si>
  <si>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</si>
  <si>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</si>
  <si>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</si>
  <si>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</si>
  <si>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</si>
  <si>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</si>
  <si>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</si>
  <si>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</si>
  <si>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</si>
  <si>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</si>
  <si>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</si>
  <si>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</si>
  <si>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</si>
  <si>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</si>
  <si>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</si>
  <si>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</si>
  <si>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</si>
  <si>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</si>
  <si>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Inorganic fertizers</t>
  </si>
  <si>
    <t>Yes</t>
  </si>
  <si>
    <t>Yes using a diesel pump</t>
  </si>
  <si>
    <t>January</t>
  </si>
  <si>
    <t>Beans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</si>
  <si>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</si>
  <si>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</si>
  <si>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</si>
  <si>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</si>
  <si>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</si>
  <si>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</si>
  <si>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</si>
  <si>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</si>
  <si>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</si>
  <si>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</si>
  <si>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</si>
  <si>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</si>
  <si>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</si>
  <si>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</si>
  <si>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</si>
  <si>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</si>
  <si>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</si>
  <si>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</si>
  <si>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</si>
  <si>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</si>
  <si>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</si>
  <si>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</si>
  <si>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</si>
  <si>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</si>
  <si>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</si>
  <si>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</si>
  <si>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</si>
  <si>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</si>
  <si>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</si>
  <si>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</si>
  <si>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February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</si>
  <si>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</si>
  <si>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</si>
  <si>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</si>
  <si>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</si>
  <si>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</si>
  <si>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</si>
  <si>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</si>
  <si>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</si>
  <si>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</si>
  <si>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</si>
  <si>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</si>
  <si>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</si>
  <si>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</si>
  <si>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</si>
  <si>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</si>
  <si>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</si>
  <si>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</si>
  <si>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</si>
  <si>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</si>
  <si>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</si>
  <si>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</si>
  <si>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</si>
  <si>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</si>
  <si>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</si>
  <si>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</si>
  <si>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</si>
  <si>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</si>
  <si>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2017/2/20</t>
  </si>
  <si>
    <t>Loan terms</t>
  </si>
  <si>
    <t>Expected disbursement date</t>
  </si>
  <si>
    <t>Expected first repayment date</t>
  </si>
  <si>
    <t>2017/3/20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</si>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</sst>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April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Beans,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0.09502825884750055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2017</v>
      </c>
    </row>
    <row r="13" spans="1:7">
      <c r="B13" s="1" t="s">
        <v>8</v>
      </c>
      <c r="C13" s="67">
        <f>IFERROR(Output!B107/Output!B101,"")</f>
        <v>0.1333333333333333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15785.71428571429</v>
      </c>
    </row>
    <row r="17" spans="1:7">
      <c r="B17" s="1" t="s">
        <v>11</v>
      </c>
      <c r="C17" s="36">
        <f>SUM(Output!B6:M6)</f>
        <v>1342388.005910217</v>
      </c>
    </row>
    <row r="18" spans="1:7">
      <c r="B18" s="1" t="s">
        <v>12</v>
      </c>
      <c r="C18" s="36">
        <f>MIN(Output!B6:M6)</f>
        <v>-242652.1114394565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2017</v>
      </c>
    </row>
    <row r="20" spans="1:7">
      <c r="B20" s="1" t="s">
        <v>14</v>
      </c>
      <c r="C20" s="36">
        <f>MAX(Output!B6:M6)</f>
        <v>1410036.357921338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1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-200652.1114394565</v>
      </c>
      <c r="C6" s="51">
        <f>C30-C88</f>
        <v>-242652.1114394565</v>
      </c>
      <c r="D6" s="51">
        <f>D30-D88</f>
        <v>1410036.357921338</v>
      </c>
      <c r="E6" s="51">
        <f>E30-E88</f>
        <v>-27308.90920840422</v>
      </c>
      <c r="F6" s="51">
        <f>F30-F88</f>
        <v>-74577.11143945648</v>
      </c>
      <c r="G6" s="51">
        <f>G30-G88</f>
        <v>-202652.1114394565</v>
      </c>
      <c r="H6" s="51">
        <f>H30-H88</f>
        <v>-182652.1114394565</v>
      </c>
      <c r="I6" s="51">
        <f>I30-I88</f>
        <v>-242652.1114394565</v>
      </c>
      <c r="J6" s="51">
        <f>J30-J88</f>
        <v>1410036.357921338</v>
      </c>
      <c r="K6" s="51">
        <f>K30-K88</f>
        <v>-27308.90920840422</v>
      </c>
      <c r="L6" s="51">
        <f>L30-L88</f>
        <v>-74577.11143945648</v>
      </c>
      <c r="M6" s="51">
        <f>M30-M88</f>
        <v>-202652.1114394565</v>
      </c>
      <c r="N6" s="51">
        <f>N30-N88</f>
        <v>-200652.1114394565</v>
      </c>
      <c r="O6" s="51">
        <f>O30-O88</f>
        <v>-242652.1114394565</v>
      </c>
      <c r="P6" s="51">
        <f>P30-P88</f>
        <v>1410036.357921338</v>
      </c>
      <c r="Q6" s="51">
        <f>Q30-Q88</f>
        <v>-27308.90920840422</v>
      </c>
      <c r="R6" s="51">
        <f>R30-R88</f>
        <v>-74577.11143945648</v>
      </c>
      <c r="S6" s="51">
        <f>S30-S88</f>
        <v>-202652.1114394565</v>
      </c>
      <c r="T6" s="51">
        <f>T30-T88</f>
        <v>-182652.1114394565</v>
      </c>
      <c r="U6" s="51">
        <f>U30-U88</f>
        <v>-242652.1114394565</v>
      </c>
      <c r="V6" s="51">
        <f>V30-V88</f>
        <v>1410036.357921338</v>
      </c>
      <c r="W6" s="51">
        <f>W30-W88</f>
        <v>-27308.90920840422</v>
      </c>
      <c r="X6" s="51">
        <f>X30-X88</f>
        <v>-74577.11143945648</v>
      </c>
      <c r="Y6" s="51">
        <f>Y30-Y88</f>
        <v>-202652.1114394565</v>
      </c>
      <c r="Z6" s="51">
        <f>SUMIF($B$13:$Y$13,"Yes",B6:Y6)</f>
        <v>1141735.89447076</v>
      </c>
      <c r="AA6" s="51">
        <f>AA30-AA88</f>
        <v>1342388.005910217</v>
      </c>
      <c r="AB6" s="51">
        <f>AB30-AB88</f>
        <v>2684776.011820435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50000</v>
      </c>
      <c r="C7" s="80">
        <f>IF(ISERROR(VLOOKUP(MONTH(C5),Inputs!$D$66:$D$71,1,0)),"",INDEX(Inputs!$B$66:$B$71,MATCH(MONTH(Output!C5),Inputs!$D$66:$D$71,0))-INDEX(Inputs!$C$66:$C$71,MATCH(MONTH(Output!C5),Inputs!$D$66:$D$71,0)))</f>
        <v>20000</v>
      </c>
      <c r="D7" s="80">
        <f>IF(ISERROR(VLOOKUP(MONTH(D5),Inputs!$D$66:$D$71,1,0)),"",INDEX(Inputs!$B$66:$B$71,MATCH(MONTH(Output!D5),Inputs!$D$66:$D$71,0))-INDEX(Inputs!$C$66:$C$71,MATCH(MONTH(Output!D5),Inputs!$D$66:$D$71,0)))</f>
        <v>-5000</v>
      </c>
      <c r="E7" s="80">
        <f>IF(ISERROR(VLOOKUP(MONTH(E5),Inputs!$D$66:$D$71,1,0)),"",INDEX(Inputs!$B$66:$B$71,MATCH(MONTH(Output!E5),Inputs!$D$66:$D$71,0))-INDEX(Inputs!$C$66:$C$71,MATCH(MONTH(Output!E5),Inputs!$D$66:$D$71,0)))</f>
        <v>-30000</v>
      </c>
      <c r="F7" s="80">
        <f>IF(ISERROR(VLOOKUP(MONTH(F5),Inputs!$D$66:$D$71,1,0)),"",INDEX(Inputs!$B$66:$B$71,MATCH(MONTH(Output!F5),Inputs!$D$66:$D$71,0))-INDEX(Inputs!$C$66:$C$71,MATCH(MONTH(Output!F5),Inputs!$D$66:$D$71,0)))</f>
        <v>0</v>
      </c>
      <c r="G7" s="80">
        <f>IF(ISERROR(VLOOKUP(MONTH(G5),Inputs!$D$66:$D$71,1,0)),"",INDEX(Inputs!$B$66:$B$71,MATCH(MONTH(Output!G5),Inputs!$D$66:$D$71,0))-INDEX(Inputs!$C$66:$C$71,MATCH(MONTH(Output!G5),Inputs!$D$66:$D$71,0)))</f>
        <v>110000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50000</v>
      </c>
      <c r="O7" s="80">
        <f>IF(ISERROR(VLOOKUP(MONTH(O5),Inputs!$D$66:$D$71,1,0)),"",INDEX(Inputs!$B$66:$B$71,MATCH(MONTH(Output!O5),Inputs!$D$66:$D$71,0))-INDEX(Inputs!$C$66:$C$71,MATCH(MONTH(Output!O5),Inputs!$D$66:$D$71,0)))</f>
        <v>20000</v>
      </c>
      <c r="P7" s="80">
        <f>IF(ISERROR(VLOOKUP(MONTH(P5),Inputs!$D$66:$D$71,1,0)),"",INDEX(Inputs!$B$66:$B$71,MATCH(MONTH(Output!P5),Inputs!$D$66:$D$71,0))-INDEX(Inputs!$C$66:$C$71,MATCH(MONTH(Output!P5),Inputs!$D$66:$D$71,0)))</f>
        <v>-5000</v>
      </c>
      <c r="Q7" s="80">
        <f>IF(ISERROR(VLOOKUP(MONTH(Q5),Inputs!$D$66:$D$71,1,0)),"",INDEX(Inputs!$B$66:$B$71,MATCH(MONTH(Output!Q5),Inputs!$D$66:$D$71,0))-INDEX(Inputs!$C$66:$C$71,MATCH(MONTH(Output!Q5),Inputs!$D$66:$D$71,0)))</f>
        <v>-30000</v>
      </c>
      <c r="R7" s="80">
        <f>IF(ISERROR(VLOOKUP(MONTH(R5),Inputs!$D$66:$D$71,1,0)),"",INDEX(Inputs!$B$66:$B$71,MATCH(MONTH(Output!R5),Inputs!$D$66:$D$71,0))-INDEX(Inputs!$C$66:$C$71,MATCH(MONTH(Output!R5),Inputs!$D$66:$D$71,0)))</f>
        <v>0</v>
      </c>
      <c r="S7" s="80">
        <f>IF(ISERROR(VLOOKUP(MONTH(S5),Inputs!$D$66:$D$71,1,0)),"",INDEX(Inputs!$B$66:$B$71,MATCH(MONTH(Output!S5),Inputs!$D$66:$D$71,0))-INDEX(Inputs!$C$66:$C$71,MATCH(MONTH(Output!S5),Inputs!$D$66:$D$71,0)))</f>
        <v>110000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15785.71428571429</v>
      </c>
      <c r="I10" s="37">
        <f>SUMPRODUCT((Calculations!$D$33:$D$84=Output!I5)+0,Calculations!$C$33:$C$84)</f>
        <v>15785.71428571429</v>
      </c>
      <c r="J10" s="37">
        <f>SUMPRODUCT((Calculations!$D$33:$D$84=Output!J5)+0,Calculations!$C$33:$C$84)</f>
        <v>15785.71428571429</v>
      </c>
      <c r="K10" s="37">
        <f>SUMPRODUCT((Calculations!$D$33:$D$84=Output!K5)+0,Calculations!$C$33:$C$84)</f>
        <v>15785.71428571429</v>
      </c>
      <c r="L10" s="37">
        <f>SUMPRODUCT((Calculations!$D$33:$D$84=Output!L5)+0,Calculations!$C$33:$C$84)</f>
        <v>15785.71428571429</v>
      </c>
      <c r="M10" s="37">
        <f>SUMPRODUCT((Calculations!$D$33:$D$84=Output!M5)+0,Calculations!$C$33:$C$84)</f>
        <v>15785.71428571429</v>
      </c>
      <c r="N10" s="37">
        <f>SUMPRODUCT((Calculations!$D$33:$D$84=Output!N5)+0,Calculations!$C$33:$C$84)</f>
        <v>15785.71428571429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102214.2857142857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-100652.1114394565</v>
      </c>
      <c r="C11" s="80">
        <f>C6+C9-C10</f>
        <v>-244152.1114394565</v>
      </c>
      <c r="D11" s="80">
        <f>D6+D9-D10</f>
        <v>1408536.357921338</v>
      </c>
      <c r="E11" s="80">
        <f>E6+E9-E10</f>
        <v>-28808.90920840422</v>
      </c>
      <c r="F11" s="80">
        <f>F6+F9-F10</f>
        <v>-76077.11143945648</v>
      </c>
      <c r="G11" s="80">
        <f>G6+G9-G10</f>
        <v>-204152.1114394565</v>
      </c>
      <c r="H11" s="80">
        <f>H6+H9-H10</f>
        <v>-198437.8257251708</v>
      </c>
      <c r="I11" s="80">
        <f>I6+I9-I10</f>
        <v>-258437.8257251708</v>
      </c>
      <c r="J11" s="80">
        <f>J6+J9-J10</f>
        <v>1394250.643635624</v>
      </c>
      <c r="K11" s="80">
        <f>K6+K9-K10</f>
        <v>-43094.62349411851</v>
      </c>
      <c r="L11" s="80">
        <f>L6+L9-L10</f>
        <v>-90362.82572517077</v>
      </c>
      <c r="M11" s="80">
        <f>M6+M9-M10</f>
        <v>-218437.8257251708</v>
      </c>
      <c r="N11" s="80">
        <f>N6+N9-N10</f>
        <v>-216437.8257251708</v>
      </c>
      <c r="O11" s="80">
        <f>O6+O9-O10</f>
        <v>-242652.1114394565</v>
      </c>
      <c r="P11" s="80">
        <f>P6+P9-P10</f>
        <v>1410036.357921338</v>
      </c>
      <c r="Q11" s="80">
        <f>Q6+Q9-Q10</f>
        <v>-27308.90920840422</v>
      </c>
      <c r="R11" s="80">
        <f>R6+R9-R10</f>
        <v>-74577.11143945648</v>
      </c>
      <c r="S11" s="80">
        <f>S6+S9-S10</f>
        <v>-202652.1114394565</v>
      </c>
      <c r="T11" s="80">
        <f>T6+T9-T10</f>
        <v>-182652.1114394565</v>
      </c>
      <c r="U11" s="80">
        <f>U6+U9-U10</f>
        <v>-242652.1114394565</v>
      </c>
      <c r="V11" s="80">
        <f>V6+V9-V10</f>
        <v>1410036.357921338</v>
      </c>
      <c r="W11" s="80">
        <f>W6+W9-W10</f>
        <v>-27308.90920840422</v>
      </c>
      <c r="X11" s="80">
        <f>X6+X9-X10</f>
        <v>-74577.11143945648</v>
      </c>
      <c r="Y11" s="80">
        <f>Y6+Y9-Y10</f>
        <v>-202652.1114394565</v>
      </c>
      <c r="Z11" s="85">
        <f>SUMIF($B$13:$Y$13,"Yes",B11:Y11)</f>
        <v>1123735.89447076</v>
      </c>
      <c r="AA11" s="80">
        <f>SUM(B11:M11)</f>
        <v>1340173.720195931</v>
      </c>
      <c r="AB11" s="46">
        <f>SUM(B11:Y11)</f>
        <v>2666776.011820433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0.002812327388900387</v>
      </c>
      <c r="E12" s="82">
        <f>IF(E13="Yes",IF(SUM($B$10:E10)/(SUM($B$6:E6)+SUM($B$9:E9))&lt;0,999.99,SUM($B$10:E10)/(SUM($B$6:E6)+SUM($B$9:E9))),"")</f>
        <v>0.004329324079120179</v>
      </c>
      <c r="F12" s="82">
        <f>IF(F13="Yes",IF(SUM($B$10:F10)/(SUM($B$6:F6)+SUM($B$9:F9))&lt;0,999.99,SUM($B$10:F10)/(SUM($B$6:F6)+SUM($B$9:F9))),"")</f>
        <v>0.006218608242792131</v>
      </c>
      <c r="G12" s="82">
        <f>IF(G13="Yes",IF(SUM($B$10:G10)/(SUM($B$6:G6)+SUM($B$9:G9))&lt;0,999.99,SUM($B$10:G10)/(SUM($B$6:G6)+SUM($B$9:G9))),"")</f>
        <v>0.009840014446350524</v>
      </c>
      <c r="H12" s="82">
        <f>IF(H13="Yes",IF(SUM($B$10:H10)/(SUM($B$6:H6)+SUM($B$9:H9))&lt;0,999.99,SUM($B$10:H10)/(SUM($B$6:H6)+SUM($B$9:H9))),"")</f>
        <v>0.0401795187312795</v>
      </c>
      <c r="I12" s="82">
        <f>IF(I13="Yes",IF(SUM($B$10:I10)/(SUM($B$6:I6)+SUM($B$9:I9))&lt;0,999.99,SUM($B$10:I10)/(SUM($B$6:I6)+SUM($B$9:I9))),"")</f>
        <v>0.1159768888287192</v>
      </c>
      <c r="J12" s="82">
        <f>IF(J13="Yes",IF(SUM($B$10:J10)/(SUM($B$6:J6)+SUM($B$9:J9))&lt;0,999.99,SUM($B$10:J10)/(SUM($B$6:J6)+SUM($B$9:J9))),"")</f>
        <v>0.03140209632447569</v>
      </c>
      <c r="K12" s="82">
        <f>IF(K13="Yes",IF(SUM($B$10:K10)/(SUM($B$6:K6)+SUM($B$9:K9))&lt;0,999.99,SUM($B$10:K10)/(SUM($B$6:K6)+SUM($B$9:K9))),"")</f>
        <v>0.04108057069921333</v>
      </c>
      <c r="L12" s="82">
        <f>IF(L13="Yes",IF(SUM($B$10:L10)/(SUM($B$6:L6)+SUM($B$9:L9))&lt;0,999.99,SUM($B$10:L10)/(SUM($B$6:L6)+SUM($B$9:L9))),"")</f>
        <v>0.0525388837129496</v>
      </c>
      <c r="M12" s="82">
        <f>IF(M13="Yes",IF(SUM($B$10:M10)/(SUM($B$6:M6)+SUM($B$9:M9))&lt;0,999.99,SUM($B$10:M10)/(SUM($B$6:M6)+SUM($B$9:M9))),"")</f>
        <v>0.07086462539584386</v>
      </c>
      <c r="N12" s="82">
        <f>IF(N13="Yes",IF(SUM($B$10:N10)/(SUM($B$6:N6)+SUM($B$9:N9))&lt;0,999.99,SUM($B$10:N10)/(SUM($B$6:N6)+SUM($B$9:N9))),"")</f>
        <v>0.09502825884750055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1592688.469360795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1592688.469360795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1592688.469360795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1592688.469360795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3185376.93872159</v>
      </c>
      <c r="AA18" s="36">
        <f>SUM(B18:M18)</f>
        <v>3185376.93872159</v>
      </c>
      <c r="AB18" s="36">
        <f>SUM(B18:Y18)</f>
        <v>6370753.877443179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69468.20223105226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69468.20223105226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69468.20223105226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69468.20223105226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138936.4044621045</v>
      </c>
      <c r="AA19" s="36">
        <f>SUM(B19:M19)</f>
        <v>138936.4044621045</v>
      </c>
      <c r="AB19" s="36">
        <f>SUM(B19:Y19)</f>
        <v>277872.808924209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1592688.469360795</v>
      </c>
      <c r="E30" s="19">
        <f>SUM(E18:E29)</f>
        <v>69468.20223105226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1592688.469360795</v>
      </c>
      <c r="K30" s="19">
        <f>SUM(K18:K29)</f>
        <v>69468.20223105226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1592688.469360795</v>
      </c>
      <c r="Q30" s="19">
        <f>SUM(Q18:Q29)</f>
        <v>69468.20223105226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1592688.469360795</v>
      </c>
      <c r="W30" s="19">
        <f>SUM(W18:W29)</f>
        <v>69468.20223105226</v>
      </c>
      <c r="X30" s="19">
        <f>SUM(X18:X29)</f>
        <v>0</v>
      </c>
      <c r="Y30" s="19">
        <f>SUM(Y18:Y29)</f>
        <v>0</v>
      </c>
      <c r="Z30" s="19">
        <f>SUMIF($B$13:$Y$13,"Yes",B30:Y30)</f>
        <v>3324313.343183694</v>
      </c>
      <c r="AA30" s="19">
        <f>SUM(B30:M30)</f>
        <v>3324313.343183694</v>
      </c>
      <c r="AB30" s="19">
        <f>SUM(B30:Y30)</f>
        <v>6648626.686367389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20000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20000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20000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20000</v>
      </c>
      <c r="Z42" s="36">
        <f>SUMIF($B$13:$Y$13,"Yes",B42:Y42)</f>
        <v>40000</v>
      </c>
      <c r="AA42" s="36">
        <f>SUM(B42:M42)</f>
        <v>40000</v>
      </c>
      <c r="AB42" s="36">
        <f>SUM(B42:Y42)</f>
        <v>80000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7500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7500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7500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7500</v>
      </c>
      <c r="Z43" s="36">
        <f>SUMIF($B$13:$Y$13,"Yes",B43:Y43)</f>
        <v>15000</v>
      </c>
      <c r="AA43" s="36">
        <f>SUM(B43:M43)</f>
        <v>15000</v>
      </c>
      <c r="AB43" s="36">
        <f>SUM(B43:Y43)</f>
        <v>30000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12500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12500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12500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12500</v>
      </c>
      <c r="Z44" s="36">
        <f>SUMIF($B$13:$Y$13,"Yes",B44:Y44)</f>
        <v>25000</v>
      </c>
      <c r="AA44" s="36">
        <f>SUM(B44:M44)</f>
        <v>25000</v>
      </c>
      <c r="AB44" s="36">
        <f>SUM(B44:Y44)</f>
        <v>50000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60000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60000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60000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60000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120000</v>
      </c>
      <c r="AA48" s="46">
        <f>SUM(B48:M48)</f>
        <v>120000</v>
      </c>
      <c r="AB48" s="46">
        <f>SUM(B48:Y48)</f>
        <v>240000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45000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45000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45000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45000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90000</v>
      </c>
      <c r="AA49" s="46">
        <f>SUM(B49:M49)</f>
        <v>90000</v>
      </c>
      <c r="AB49" s="46">
        <f>SUM(B49:Y49)</f>
        <v>180000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15000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15000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15000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15000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30000</v>
      </c>
      <c r="AA50" s="46">
        <f>SUM(B50:M50)</f>
        <v>30000</v>
      </c>
      <c r="AB50" s="46">
        <f>SUM(B50:Y50)</f>
        <v>60000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21000</v>
      </c>
      <c r="C60" s="36">
        <f>O60</f>
        <v>21000</v>
      </c>
      <c r="D60" s="36">
        <f>P60</f>
        <v>21000</v>
      </c>
      <c r="E60" s="36">
        <f>Q60</f>
        <v>6000</v>
      </c>
      <c r="F60" s="36">
        <f>R60</f>
        <v>0</v>
      </c>
      <c r="G60" s="36">
        <f>S60</f>
        <v>21000</v>
      </c>
      <c r="H60" s="36">
        <f>T60</f>
        <v>21000</v>
      </c>
      <c r="I60" s="36">
        <f>U60</f>
        <v>21000</v>
      </c>
      <c r="J60" s="36">
        <f>V60</f>
        <v>21000</v>
      </c>
      <c r="K60" s="36">
        <f>W60</f>
        <v>6000</v>
      </c>
      <c r="L60" s="36">
        <f>X60</f>
        <v>0</v>
      </c>
      <c r="M60" s="36">
        <f>Y60</f>
        <v>21000</v>
      </c>
      <c r="N60" s="46">
        <f>SUM(N61:N65)</f>
        <v>21000</v>
      </c>
      <c r="O60" s="46">
        <f>SUM(O61:O65)</f>
        <v>21000</v>
      </c>
      <c r="P60" s="46">
        <f>SUM(P61:P65)</f>
        <v>21000</v>
      </c>
      <c r="Q60" s="46">
        <f>SUM(Q61:Q65)</f>
        <v>6000</v>
      </c>
      <c r="R60" s="46">
        <f>SUM(R61:R65)</f>
        <v>0</v>
      </c>
      <c r="S60" s="46">
        <f>SUM(S61:S65)</f>
        <v>21000</v>
      </c>
      <c r="T60" s="46">
        <f>SUM(T61:T65)</f>
        <v>21000</v>
      </c>
      <c r="U60" s="46">
        <f>SUM(U61:U65)</f>
        <v>21000</v>
      </c>
      <c r="V60" s="46">
        <f>SUM(V61:V65)</f>
        <v>21000</v>
      </c>
      <c r="W60" s="46">
        <f>SUM(W61:W65)</f>
        <v>6000</v>
      </c>
      <c r="X60" s="46">
        <f>SUM(X61:X65)</f>
        <v>0</v>
      </c>
      <c r="Y60" s="46">
        <f>SUM(Y61:Y65)</f>
        <v>21000</v>
      </c>
      <c r="Z60" s="46">
        <f>SUMIF($B$13:$Y$13,"Yes",B60:Y60)</f>
        <v>201000</v>
      </c>
      <c r="AA60" s="46">
        <f>SUM(B60:M60)</f>
        <v>180000</v>
      </c>
      <c r="AB60" s="46">
        <f>SUM(B60:Y60)</f>
        <v>360000</v>
      </c>
    </row>
    <row r="61" spans="1:30" hidden="true" outlineLevel="1">
      <c r="A61" s="181" t="str">
        <f>Calculations!$A$4</f>
        <v>Tomatoes</v>
      </c>
      <c r="B61" s="36">
        <f>N61</f>
        <v>15000</v>
      </c>
      <c r="C61" s="36">
        <f>O61</f>
        <v>15000</v>
      </c>
      <c r="D61" s="36">
        <f>P61</f>
        <v>15000</v>
      </c>
      <c r="E61" s="36">
        <f>Q61</f>
        <v>0</v>
      </c>
      <c r="F61" s="36">
        <f>R61</f>
        <v>0</v>
      </c>
      <c r="G61" s="36">
        <f>S61</f>
        <v>15000</v>
      </c>
      <c r="H61" s="36">
        <f>T61</f>
        <v>15000</v>
      </c>
      <c r="I61" s="36">
        <f>U61</f>
        <v>15000</v>
      </c>
      <c r="J61" s="36">
        <f>V61</f>
        <v>15000</v>
      </c>
      <c r="K61" s="36">
        <f>W61</f>
        <v>0</v>
      </c>
      <c r="L61" s="36">
        <f>X61</f>
        <v>0</v>
      </c>
      <c r="M61" s="36">
        <f>Y61</f>
        <v>15000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15000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15000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15000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15000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15000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15000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15000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15000</v>
      </c>
      <c r="Z61" s="46">
        <f>SUMIF($B$13:$Y$13,"Yes",B61:Y61)</f>
        <v>135000</v>
      </c>
      <c r="AA61" s="46">
        <f>SUM(B61:M61)</f>
        <v>120000</v>
      </c>
      <c r="AB61" s="46">
        <f>SUM(B61:Y61)</f>
        <v>240000</v>
      </c>
    </row>
    <row r="62" spans="1:30" hidden="true" outlineLevel="1">
      <c r="A62" s="181" t="str">
        <f>Calculations!$A$5</f>
        <v>Beans</v>
      </c>
      <c r="B62" s="36">
        <f>N62</f>
        <v>6000</v>
      </c>
      <c r="C62" s="36">
        <f>O62</f>
        <v>6000</v>
      </c>
      <c r="D62" s="36">
        <f>P62</f>
        <v>6000</v>
      </c>
      <c r="E62" s="36">
        <f>Q62</f>
        <v>6000</v>
      </c>
      <c r="F62" s="36">
        <f>R62</f>
        <v>0</v>
      </c>
      <c r="G62" s="36">
        <f>S62</f>
        <v>6000</v>
      </c>
      <c r="H62" s="36">
        <f>T62</f>
        <v>6000</v>
      </c>
      <c r="I62" s="36">
        <f>U62</f>
        <v>6000</v>
      </c>
      <c r="J62" s="36">
        <f>V62</f>
        <v>6000</v>
      </c>
      <c r="K62" s="36">
        <f>W62</f>
        <v>6000</v>
      </c>
      <c r="L62" s="36">
        <f>X62</f>
        <v>0</v>
      </c>
      <c r="M62" s="36">
        <f>Y62</f>
        <v>6000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6000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6000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6000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6000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6000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6000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6000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6000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6000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6000</v>
      </c>
      <c r="Z62" s="46">
        <f>SUMIF($B$13:$Y$13,"Yes",B62:Y62)</f>
        <v>66000</v>
      </c>
      <c r="AA62" s="46">
        <f>SUM(B62:M62)</f>
        <v>60000</v>
      </c>
      <c r="AB62" s="46">
        <f>SUM(B62:Y62)</f>
        <v>120000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87075</v>
      </c>
      <c r="C66" s="36">
        <f>O66</f>
        <v>87075</v>
      </c>
      <c r="D66" s="36">
        <f>P66</f>
        <v>87075</v>
      </c>
      <c r="E66" s="36">
        <f>Q66</f>
        <v>16200</v>
      </c>
      <c r="F66" s="36">
        <f>R66</f>
        <v>0</v>
      </c>
      <c r="G66" s="36">
        <f>S66</f>
        <v>87075</v>
      </c>
      <c r="H66" s="36">
        <f>T66</f>
        <v>87075</v>
      </c>
      <c r="I66" s="36">
        <f>U66</f>
        <v>87075</v>
      </c>
      <c r="J66" s="36">
        <f>V66</f>
        <v>87075</v>
      </c>
      <c r="K66" s="36">
        <f>W66</f>
        <v>16200</v>
      </c>
      <c r="L66" s="36">
        <f>X66</f>
        <v>0</v>
      </c>
      <c r="M66" s="36">
        <f>Y66</f>
        <v>87075</v>
      </c>
      <c r="N66" s="46">
        <f>SUM(N67:N71)</f>
        <v>87075</v>
      </c>
      <c r="O66" s="46">
        <f>SUM(O67:O71)</f>
        <v>87075</v>
      </c>
      <c r="P66" s="46">
        <f>SUM(P67:P71)</f>
        <v>87075</v>
      </c>
      <c r="Q66" s="46">
        <f>SUM(Q67:Q71)</f>
        <v>16200</v>
      </c>
      <c r="R66" s="46">
        <f>SUM(R67:R71)</f>
        <v>0</v>
      </c>
      <c r="S66" s="46">
        <f>SUM(S67:S71)</f>
        <v>87075</v>
      </c>
      <c r="T66" s="46">
        <f>SUM(T67:T71)</f>
        <v>87075</v>
      </c>
      <c r="U66" s="46">
        <f>SUM(U67:U71)</f>
        <v>87075</v>
      </c>
      <c r="V66" s="46">
        <f>SUM(V67:V71)</f>
        <v>87075</v>
      </c>
      <c r="W66" s="46">
        <f>SUM(W67:W71)</f>
        <v>16200</v>
      </c>
      <c r="X66" s="46">
        <f>SUM(X67:X71)</f>
        <v>0</v>
      </c>
      <c r="Y66" s="46">
        <f>SUM(Y67:Y71)</f>
        <v>87075</v>
      </c>
      <c r="Z66" s="46">
        <f>SUMIF($B$13:$Y$13,"Yes",B66:Y66)</f>
        <v>816075</v>
      </c>
      <c r="AA66" s="46">
        <f>SUM(B66:M66)</f>
        <v>729000</v>
      </c>
      <c r="AB66" s="46">
        <f>SUM(B66:Y66)</f>
        <v>1458000</v>
      </c>
    </row>
    <row r="67" spans="1:30" hidden="true" outlineLevel="1">
      <c r="A67" s="181" t="str">
        <f>Calculations!$A$4</f>
        <v>Tomatoes</v>
      </c>
      <c r="B67" s="36">
        <f>N67</f>
        <v>70875</v>
      </c>
      <c r="C67" s="36">
        <f>O67</f>
        <v>70875</v>
      </c>
      <c r="D67" s="36">
        <f>P67</f>
        <v>70875</v>
      </c>
      <c r="E67" s="36">
        <f>Q67</f>
        <v>0</v>
      </c>
      <c r="F67" s="36">
        <f>R67</f>
        <v>0</v>
      </c>
      <c r="G67" s="36">
        <f>S67</f>
        <v>70875</v>
      </c>
      <c r="H67" s="36">
        <f>T67</f>
        <v>70875</v>
      </c>
      <c r="I67" s="36">
        <f>U67</f>
        <v>70875</v>
      </c>
      <c r="J67" s="36">
        <f>V67</f>
        <v>70875</v>
      </c>
      <c r="K67" s="36">
        <f>W67</f>
        <v>0</v>
      </c>
      <c r="L67" s="36">
        <f>X67</f>
        <v>0</v>
      </c>
      <c r="M67" s="36">
        <f>Y67</f>
        <v>70875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70875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70875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70875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70875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70875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70875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70875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70875</v>
      </c>
      <c r="Z67" s="46">
        <f>SUMIF($B$13:$Y$13,"Yes",B67:Y67)</f>
        <v>637875</v>
      </c>
      <c r="AA67" s="46">
        <f>SUM(B67:M67)</f>
        <v>567000</v>
      </c>
      <c r="AB67" s="46">
        <f>SUM(B67:Y67)</f>
        <v>1134000</v>
      </c>
    </row>
    <row r="68" spans="1:30" hidden="true" outlineLevel="1">
      <c r="A68" s="181" t="str">
        <f>Calculations!$A$5</f>
        <v>Beans</v>
      </c>
      <c r="B68" s="36">
        <f>N68</f>
        <v>16200</v>
      </c>
      <c r="C68" s="36">
        <f>O68</f>
        <v>16200</v>
      </c>
      <c r="D68" s="36">
        <f>P68</f>
        <v>16200</v>
      </c>
      <c r="E68" s="36">
        <f>Q68</f>
        <v>16200</v>
      </c>
      <c r="F68" s="36">
        <f>R68</f>
        <v>0</v>
      </c>
      <c r="G68" s="36">
        <f>S68</f>
        <v>16200</v>
      </c>
      <c r="H68" s="36">
        <f>T68</f>
        <v>16200</v>
      </c>
      <c r="I68" s="36">
        <f>U68</f>
        <v>16200</v>
      </c>
      <c r="J68" s="36">
        <f>V68</f>
        <v>16200</v>
      </c>
      <c r="K68" s="36">
        <f>W68</f>
        <v>16200</v>
      </c>
      <c r="L68" s="36">
        <f>X68</f>
        <v>0</v>
      </c>
      <c r="M68" s="36">
        <f>Y68</f>
        <v>16200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16200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16200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16200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16200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16200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16200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16200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16200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16200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16200</v>
      </c>
      <c r="Z68" s="46">
        <f>SUMIF($B$13:$Y$13,"Yes",B68:Y68)</f>
        <v>178200</v>
      </c>
      <c r="AA68" s="46">
        <f>SUM(B68:M68)</f>
        <v>162000</v>
      </c>
      <c r="AB68" s="46">
        <f>SUM(B68:Y68)</f>
        <v>324000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18000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18000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36000</v>
      </c>
      <c r="AA72" s="46">
        <f>SUM(B72:M72)</f>
        <v>18000</v>
      </c>
      <c r="AB72" s="46">
        <f>SUM(B72:Y72)</f>
        <v>36000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74577.11143945648</v>
      </c>
      <c r="C81" s="46">
        <f>(SUM($AA$18:$AA$29)-SUM($AA$36,$AA$42,$AA$48,$AA$54,$AA$60,$AA$66,$AA$72:$AA$79))*Parameters!$B$37/12</f>
        <v>74577.11143945648</v>
      </c>
      <c r="D81" s="46">
        <f>(SUM($AA$18:$AA$29)-SUM($AA$36,$AA$42,$AA$48,$AA$54,$AA$60,$AA$66,$AA$72:$AA$79))*Parameters!$B$37/12</f>
        <v>74577.11143945648</v>
      </c>
      <c r="E81" s="46">
        <f>(SUM($AA$18:$AA$29)-SUM($AA$36,$AA$42,$AA$48,$AA$54,$AA$60,$AA$66,$AA$72:$AA$79))*Parameters!$B$37/12</f>
        <v>74577.11143945648</v>
      </c>
      <c r="F81" s="46">
        <f>(SUM($AA$18:$AA$29)-SUM($AA$36,$AA$42,$AA$48,$AA$54,$AA$60,$AA$66,$AA$72:$AA$79))*Parameters!$B$37/12</f>
        <v>74577.11143945648</v>
      </c>
      <c r="G81" s="46">
        <f>(SUM($AA$18:$AA$29)-SUM($AA$36,$AA$42,$AA$48,$AA$54,$AA$60,$AA$66,$AA$72:$AA$79))*Parameters!$B$37/12</f>
        <v>74577.11143945648</v>
      </c>
      <c r="H81" s="46">
        <f>(SUM($AA$18:$AA$29)-SUM($AA$36,$AA$42,$AA$48,$AA$54,$AA$60,$AA$66,$AA$72:$AA$79))*Parameters!$B$37/12</f>
        <v>74577.11143945648</v>
      </c>
      <c r="I81" s="46">
        <f>(SUM($AA$18:$AA$29)-SUM($AA$36,$AA$42,$AA$48,$AA$54,$AA$60,$AA$66,$AA$72:$AA$79))*Parameters!$B$37/12</f>
        <v>74577.11143945648</v>
      </c>
      <c r="J81" s="46">
        <f>(SUM($AA$18:$AA$29)-SUM($AA$36,$AA$42,$AA$48,$AA$54,$AA$60,$AA$66,$AA$72:$AA$79))*Parameters!$B$37/12</f>
        <v>74577.11143945648</v>
      </c>
      <c r="K81" s="46">
        <f>(SUM($AA$18:$AA$29)-SUM($AA$36,$AA$42,$AA$48,$AA$54,$AA$60,$AA$66,$AA$72:$AA$79))*Parameters!$B$37/12</f>
        <v>74577.11143945648</v>
      </c>
      <c r="L81" s="46">
        <f>(SUM($AA$18:$AA$29)-SUM($AA$36,$AA$42,$AA$48,$AA$54,$AA$60,$AA$66,$AA$72:$AA$79))*Parameters!$B$37/12</f>
        <v>74577.11143945648</v>
      </c>
      <c r="M81" s="46">
        <f>(SUM($AA$18:$AA$29)-SUM($AA$36,$AA$42,$AA$48,$AA$54,$AA$60,$AA$66,$AA$72:$AA$79))*Parameters!$B$37/12</f>
        <v>74577.11143945648</v>
      </c>
      <c r="N81" s="46">
        <f>(SUM($AA$18:$AA$29)-SUM($AA$36,$AA$42,$AA$48,$AA$54,$AA$60,$AA$66,$AA$72:$AA$79))*Parameters!$B$37/12</f>
        <v>74577.11143945648</v>
      </c>
      <c r="O81" s="46">
        <f>(SUM($AA$18:$AA$29)-SUM($AA$36,$AA$42,$AA$48,$AA$54,$AA$60,$AA$66,$AA$72:$AA$79))*Parameters!$B$37/12</f>
        <v>74577.11143945648</v>
      </c>
      <c r="P81" s="46">
        <f>(SUM($AA$18:$AA$29)-SUM($AA$36,$AA$42,$AA$48,$AA$54,$AA$60,$AA$66,$AA$72:$AA$79))*Parameters!$B$37/12</f>
        <v>74577.11143945648</v>
      </c>
      <c r="Q81" s="46">
        <f>(SUM($AA$18:$AA$29)-SUM($AA$36,$AA$42,$AA$48,$AA$54,$AA$60,$AA$66,$AA$72:$AA$79))*Parameters!$B$37/12</f>
        <v>74577.11143945648</v>
      </c>
      <c r="R81" s="46">
        <f>(SUM($AA$18:$AA$29)-SUM($AA$36,$AA$42,$AA$48,$AA$54,$AA$60,$AA$66,$AA$72:$AA$79))*Parameters!$B$37/12</f>
        <v>74577.11143945648</v>
      </c>
      <c r="S81" s="46">
        <f>(SUM($AA$18:$AA$29)-SUM($AA$36,$AA$42,$AA$48,$AA$54,$AA$60,$AA$66,$AA$72:$AA$79))*Parameters!$B$37/12</f>
        <v>74577.11143945648</v>
      </c>
      <c r="T81" s="46">
        <f>(SUM($AA$18:$AA$29)-SUM($AA$36,$AA$42,$AA$48,$AA$54,$AA$60,$AA$66,$AA$72:$AA$79))*Parameters!$B$37/12</f>
        <v>74577.11143945648</v>
      </c>
      <c r="U81" s="46">
        <f>(SUM($AA$18:$AA$29)-SUM($AA$36,$AA$42,$AA$48,$AA$54,$AA$60,$AA$66,$AA$72:$AA$79))*Parameters!$B$37/12</f>
        <v>74577.11143945648</v>
      </c>
      <c r="V81" s="46">
        <f>(SUM($AA$18:$AA$29)-SUM($AA$36,$AA$42,$AA$48,$AA$54,$AA$60,$AA$66,$AA$72:$AA$79))*Parameters!$B$37/12</f>
        <v>74577.11143945648</v>
      </c>
      <c r="W81" s="46">
        <f>(SUM($AA$18:$AA$29)-SUM($AA$36,$AA$42,$AA$48,$AA$54,$AA$60,$AA$66,$AA$72:$AA$79))*Parameters!$B$37/12</f>
        <v>74577.11143945648</v>
      </c>
      <c r="X81" s="46">
        <f>(SUM($AA$18:$AA$29)-SUM($AA$36,$AA$42,$AA$48,$AA$54,$AA$60,$AA$66,$AA$72:$AA$79))*Parameters!$B$37/12</f>
        <v>74577.11143945648</v>
      </c>
      <c r="Y81" s="46">
        <f>(SUM($AA$18:$AA$29)-SUM($AA$36,$AA$42,$AA$48,$AA$54,$AA$60,$AA$66,$AA$72:$AA$79))*Parameters!$B$37/12</f>
        <v>74577.11143945648</v>
      </c>
      <c r="Z81" s="46">
        <f>SUMIF($B$13:$Y$13,"Yes",B81:Y81)</f>
        <v>969502.4487129342</v>
      </c>
      <c r="AA81" s="46">
        <f>SUM(B81:M81)</f>
        <v>894925.3372734777</v>
      </c>
      <c r="AB81" s="46">
        <f>SUM(B81:Y81)</f>
        <v>1789850.674546955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200652.1114394565</v>
      </c>
      <c r="C88" s="19">
        <f>SUM(C72:C82,C66,C60,C54,C48,C42,C36)</f>
        <v>242652.1114394565</v>
      </c>
      <c r="D88" s="19">
        <f>SUM(D72:D82,D66,D60,D54,D48,D42,D36)</f>
        <v>182652.1114394565</v>
      </c>
      <c r="E88" s="19">
        <f>SUM(E72:E82,E66,E60,E54,E48,E42,E36)</f>
        <v>96777.11143945648</v>
      </c>
      <c r="F88" s="19">
        <f>SUM(F72:F82,F66,F60,F54,F48,F42,F36)</f>
        <v>74577.11143945648</v>
      </c>
      <c r="G88" s="19">
        <f>SUM(G72:G82,G66,G60,G54,G48,G42,G36)</f>
        <v>202652.1114394565</v>
      </c>
      <c r="H88" s="19">
        <f>SUM(H72:H82,H66,H60,H54,H48,H42,H36)</f>
        <v>182652.1114394565</v>
      </c>
      <c r="I88" s="19">
        <f>SUM(I72:I82,I66,I60,I54,I48,I42,I36)</f>
        <v>242652.1114394565</v>
      </c>
      <c r="J88" s="19">
        <f>SUM(J72:J82,J66,J60,J54,J48,J42,J36)</f>
        <v>182652.1114394565</v>
      </c>
      <c r="K88" s="19">
        <f>SUM(K72:K82,K66,K60,K54,K48,K42,K36)</f>
        <v>96777.11143945648</v>
      </c>
      <c r="L88" s="19">
        <f>SUM(L72:L82,L66,L60,L54,L48,L42,L36)</f>
        <v>74577.11143945648</v>
      </c>
      <c r="M88" s="19">
        <f>SUM(M72:M82,M66,M60,M54,M48,M42,M36)</f>
        <v>202652.1114394565</v>
      </c>
      <c r="N88" s="19">
        <f>SUM(N72:N82,N66,N60,N54,N48,N42,N36)</f>
        <v>200652.1114394565</v>
      </c>
      <c r="O88" s="19">
        <f>SUM(O72:O82,O66,O60,O54,O48,O42,O36)</f>
        <v>242652.1114394565</v>
      </c>
      <c r="P88" s="19">
        <f>SUM(P72:P82,P66,P60,P54,P48,P42,P36)</f>
        <v>182652.1114394565</v>
      </c>
      <c r="Q88" s="19">
        <f>SUM(Q72:Q82,Q66,Q60,Q54,Q48,Q42,Q36)</f>
        <v>96777.11143945648</v>
      </c>
      <c r="R88" s="19">
        <f>SUM(R72:R82,R66,R60,R54,R48,R42,R36)</f>
        <v>74577.11143945648</v>
      </c>
      <c r="S88" s="19">
        <f>SUM(S72:S82,S66,S60,S54,S48,S42,S36)</f>
        <v>202652.1114394565</v>
      </c>
      <c r="T88" s="19">
        <f>SUM(T72:T82,T66,T60,T54,T48,T42,T36)</f>
        <v>182652.1114394565</v>
      </c>
      <c r="U88" s="19">
        <f>SUM(U72:U82,U66,U60,U54,U48,U42,U36)</f>
        <v>242652.1114394565</v>
      </c>
      <c r="V88" s="19">
        <f>SUM(V72:V82,V66,V60,V54,V48,V42,V36)</f>
        <v>182652.1114394565</v>
      </c>
      <c r="W88" s="19">
        <f>SUM(W72:W82,W66,W60,W54,W48,W42,W36)</f>
        <v>96777.11143945648</v>
      </c>
      <c r="X88" s="19">
        <f>SUM(X72:X82,X66,X60,X54,X48,X42,X36)</f>
        <v>74577.11143945648</v>
      </c>
      <c r="Y88" s="19">
        <f>SUM(Y72:Y82,Y66,Y60,Y54,Y48,Y42,Y36)</f>
        <v>202652.1114394565</v>
      </c>
      <c r="Z88" s="19">
        <f>SUMIF($B$13:$Y$13,"Yes",B88:Y88)</f>
        <v>2182577.448712934</v>
      </c>
      <c r="AA88" s="19">
        <f>SUM(B88:M88)</f>
        <v>1981925.337273478</v>
      </c>
      <c r="AB88" s="19">
        <f>SUM(B88:Y88)</f>
        <v>3963850.674546954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40000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750000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10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123</v>
      </c>
    </row>
    <row r="41" spans="1:48">
      <c r="A41" s="55" t="s">
        <v>124</v>
      </c>
      <c r="B41" s="140">
        <v>18000</v>
      </c>
    </row>
    <row r="42" spans="1:48">
      <c r="A42" s="55" t="s">
        <v>125</v>
      </c>
      <c r="B42" s="139" t="s">
        <v>126</v>
      </c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500000</v>
      </c>
    </row>
    <row r="46" spans="1:48" customHeight="1" ht="30">
      <c r="A46" s="57" t="s">
        <v>131</v>
      </c>
      <c r="B46" s="161">
        <v>200000</v>
      </c>
    </row>
    <row r="47" spans="1:48" customHeight="1" ht="30">
      <c r="A47" s="57" t="s">
        <v>132</v>
      </c>
      <c r="B47" s="161">
        <v>40000</v>
      </c>
    </row>
    <row r="48" spans="1:48" customHeight="1" ht="30">
      <c r="A48" s="57" t="s">
        <v>133</v>
      </c>
      <c r="B48" s="161">
        <v>0</v>
      </c>
    </row>
    <row r="49" spans="1:48" customHeight="1" ht="30">
      <c r="A49" s="57" t="s">
        <v>134</v>
      </c>
      <c r="B49" s="161">
        <v>10000</v>
      </c>
    </row>
    <row r="50" spans="1:48">
      <c r="A50" s="43"/>
      <c r="B50" s="36"/>
    </row>
    <row r="51" spans="1:48">
      <c r="A51" s="58" t="s">
        <v>135</v>
      </c>
      <c r="B51" s="161">
        <v>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144</v>
      </c>
      <c r="C65" s="10" t="s">
        <v>145</v>
      </c>
    </row>
    <row r="66" spans="1:48">
      <c r="A66" s="142" t="s">
        <v>126</v>
      </c>
      <c r="B66" s="159">
        <v>100000</v>
      </c>
      <c r="C66" s="163">
        <v>50000</v>
      </c>
      <c r="D66" s="49">
        <f>INDEX(Parameters!$D$79:$D$90,MATCH(Inputs!A66,Parameters!$C$79:$C$90,0))</f>
        <v>2</v>
      </c>
    </row>
    <row r="67" spans="1:48">
      <c r="A67" s="143" t="s">
        <v>146</v>
      </c>
      <c r="B67" s="157">
        <v>50000</v>
      </c>
      <c r="C67" s="165">
        <v>30000</v>
      </c>
      <c r="D67" s="49">
        <f>INDEX(Parameters!$D$79:$D$90,MATCH(Inputs!A67,Parameters!$C$79:$C$90,0))</f>
        <v>3</v>
      </c>
    </row>
    <row r="68" spans="1:48">
      <c r="A68" s="143" t="s">
        <v>147</v>
      </c>
      <c r="B68" s="157">
        <v>40000</v>
      </c>
      <c r="C68" s="165">
        <v>45000</v>
      </c>
      <c r="D68" s="49">
        <f>INDEX(Parameters!$D$79:$D$90,MATCH(Inputs!A68,Parameters!$C$79:$C$90,0))</f>
        <v>4</v>
      </c>
    </row>
    <row r="69" spans="1:48">
      <c r="A69" s="143" t="s">
        <v>148</v>
      </c>
      <c r="B69" s="157">
        <v>20000</v>
      </c>
      <c r="C69" s="165">
        <v>50000</v>
      </c>
      <c r="D69" s="49">
        <f>INDEX(Parameters!$D$79:$D$90,MATCH(Inputs!A69,Parameters!$C$79:$C$90,0))</f>
        <v>5</v>
      </c>
    </row>
    <row r="70" spans="1:48">
      <c r="A70" s="143" t="s">
        <v>149</v>
      </c>
      <c r="B70" s="157">
        <v>20000</v>
      </c>
      <c r="C70" s="165">
        <v>20000</v>
      </c>
      <c r="D70" s="49">
        <f>INDEX(Parameters!$D$79:$D$90,MATCH(Inputs!A70,Parameters!$C$79:$C$90,0))</f>
        <v>6</v>
      </c>
    </row>
    <row r="71" spans="1:48">
      <c r="A71" s="144" t="s">
        <v>150</v>
      </c>
      <c r="B71" s="158">
        <v>200000</v>
      </c>
      <c r="C71" s="167">
        <v>90000</v>
      </c>
      <c r="D71" s="49">
        <f>INDEX(Parameters!$D$79:$D$90,MATCH(Inputs!A71,Parameters!$C$79:$C$90,0))</f>
        <v>7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15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100000</v>
      </c>
    </row>
    <row r="82" spans="1:48">
      <c r="A82" t="s">
        <v>160</v>
      </c>
      <c r="B82" s="161">
        <v>18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>
        <v>5</v>
      </c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43101</v>
      </c>
      <c r="C4" s="38">
        <f>IFERROR(DATE(YEAR(B4),MONTH(B4)+ROUND(T4/2,0),DAY(B4)),B4)</f>
        <v>43160</v>
      </c>
      <c r="D4" s="38">
        <f>IFERROR(DATE(YEAR(B4),MONTH(B4)+T4,DAY(B4)),"")</f>
        <v>43191</v>
      </c>
      <c r="E4" s="38">
        <f>IFERROR(IF($S4=0,"",IF($S4=2,DATE(YEAR(B4),MONTH(B4)+6,DAY(B4)),IF($S4=1,B4,""))),"")</f>
        <v>43282</v>
      </c>
      <c r="F4" s="38">
        <f>IFERROR(IF($S4=0,"",IF($S4=2,DATE(YEAR(C4),MONTH(C4)+6,DAY(C4)),IF($S4=1,C4,""))),"")</f>
        <v>43344</v>
      </c>
      <c r="G4" s="38">
        <f>IFERROR(IF($S4=0,"",IF($S4=2,DATE(YEAR(D4),MONTH(D4)+6,DAY(D4)),IF($S4=1,D4,""))),"")</f>
        <v>43374</v>
      </c>
      <c r="H4" s="20">
        <f>Inputs!C7</f>
        <v>10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50561.5387098665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3185376.93872159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45000</v>
      </c>
      <c r="Z4" s="33">
        <f>IF(Inputs!I7=Parameters!$F$78,H4*INDEX(Parameters!$A$3:$AI$18,MATCH(Calculations!A4,Parameters!$A$3:$A$18,0),MATCH(Parameters!$Q$3,Parameters!$A$3:$AI$3,0)),0)</f>
        <v>60000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315000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43221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43405</v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2984.670342902353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138936.4044621045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15000</v>
      </c>
      <c r="Z5" s="34">
        <f>IF(Inputs!I8=Parameters!$F$78,H5*INDEX(Parameters!$A$3:$AI$18,MATCH(Calculations!A5,Parameters!$A$3:$A$18,0),MATCH(Parameters!$Q$3,Parameters!$A$3:$AI$3,0)),0)</f>
        <v>30000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90000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42814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42795</v>
      </c>
      <c r="F33" t="s">
        <v>156</v>
      </c>
      <c r="G33" s="128">
        <f>IF(Inputs!B79="","",DATE(YEAR(Inputs!B79),MONTH(Inputs!B79),DAY(Inputs!B79)))</f>
        <v>42786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42845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42826</v>
      </c>
      <c r="F34" t="s">
        <v>157</v>
      </c>
      <c r="G34" s="128">
        <f>IF(Inputs!B80="","",DATE(YEAR(Inputs!B80),MONTH(Inputs!B80),DAY(Inputs!B80)))</f>
        <v>42814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42875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42856</v>
      </c>
      <c r="F35" t="s">
        <v>159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42906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42887</v>
      </c>
      <c r="F36" t="s">
        <v>160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42936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42917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42967</v>
      </c>
      <c r="C38" s="27">
        <f>IF(B38&lt;&gt;"",IF(COUNT($A$33:A38)&lt;=$G$39,0,$G$41)+IF(COUNT($A$33:A38)&lt;=$G$40,0,$G$42),0)</f>
        <v>15785.71428571429</v>
      </c>
      <c r="D38" s="170">
        <f>IFERROR(DATE(YEAR(B38),MONTH(B38),1)," ")</f>
        <v>42948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42998</v>
      </c>
      <c r="C39" s="27">
        <f>IF(B39&lt;&gt;"",IF(COUNT($A$33:A39)&lt;=$G$39,0,$G$41)+IF(COUNT($A$33:A39)&lt;=$G$40,0,$G$42),0)</f>
        <v>15785.71428571429</v>
      </c>
      <c r="D39" s="170">
        <f>IFERROR(DATE(YEAR(B39),MONTH(B39),1)," ")</f>
        <v>42979</v>
      </c>
      <c r="F39" t="s">
        <v>165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43028</v>
      </c>
      <c r="C40" s="27">
        <f>IF(B40&lt;&gt;"",IF(COUNT($A$33:A40)&lt;=$G$39,0,$G$41)+IF(COUNT($A$33:A40)&lt;=$G$40,0,$G$42),0)</f>
        <v>15785.71428571429</v>
      </c>
      <c r="D40" s="170">
        <f>IFERROR(DATE(YEAR(B40),MONTH(B40),1)," ")</f>
        <v>43009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43059</v>
      </c>
      <c r="C41" s="27">
        <f>IF(B41&lt;&gt;"",IF(COUNT($A$33:A41)&lt;=$G$39,0,$G$41)+IF(COUNT($A$33:A41)&lt;=$G$40,0,$G$42),0)</f>
        <v>15785.71428571429</v>
      </c>
      <c r="D41" s="170">
        <f>IFERROR(DATE(YEAR(B41),MONTH(B41),1)," ")</f>
        <v>43040</v>
      </c>
      <c r="F41" t="s">
        <v>223</v>
      </c>
      <c r="G41" s="73">
        <f>IFERROR(G35/(G38-G39),"")</f>
        <v>14285.71428571429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43089</v>
      </c>
      <c r="C42" s="27">
        <f>IF(B42&lt;&gt;"",IF(COUNT($A$33:A42)&lt;=$G$39,0,$G$41)+IF(COUNT($A$33:A42)&lt;=$G$40,0,$G$42),0)</f>
        <v>15785.71428571429</v>
      </c>
      <c r="D42" s="170">
        <f>IFERROR(DATE(YEAR(B42),MONTH(B42),1)," ")</f>
        <v>43070</v>
      </c>
      <c r="F42" t="s">
        <v>224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43120</v>
      </c>
      <c r="C43" s="27">
        <f>IF(B43&lt;&gt;"",IF(COUNT($A$33:A43)&lt;=$G$39,0,$G$41)+IF(COUNT($A$33:A43)&lt;=$G$40,0,$G$42),0)</f>
        <v>15785.71428571429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43151</v>
      </c>
      <c r="C44" s="27">
        <f>IF(B44&lt;&gt;"",IF(COUNT($A$33:A44)&lt;=$G$39,0,$G$41)+IF(COUNT($A$33:A44)&lt;=$G$40,0,$G$42),0)</f>
        <v>15785.71428571429</v>
      </c>
      <c r="D44" s="170">
        <f>IFERROR(DATE(YEAR(B44),MONTH(B44),1)," ")</f>
        <v>43132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270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271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274</v>
      </c>
      <c r="C22" s="10" t="s">
        <v>275</v>
      </c>
      <c r="D22" s="10" t="s">
        <v>276</v>
      </c>
      <c r="E22" s="10" t="s">
        <v>277</v>
      </c>
      <c r="F22" s="10" t="s">
        <v>278</v>
      </c>
      <c r="G22" s="10" t="s">
        <v>279</v>
      </c>
      <c r="H22" s="10" t="s">
        <v>280</v>
      </c>
      <c r="I22" s="10" t="s">
        <v>197</v>
      </c>
      <c r="J22" s="10" t="s">
        <v>281</v>
      </c>
      <c r="K22" s="10" t="s">
        <v>282</v>
      </c>
      <c r="L22" s="10" t="s">
        <v>283</v>
      </c>
      <c r="M22" s="10" t="s">
        <v>284</v>
      </c>
      <c r="N22" s="10" t="s">
        <v>285</v>
      </c>
      <c r="O22" s="10" t="s">
        <v>286</v>
      </c>
      <c r="P22" s="10" t="s">
        <v>287</v>
      </c>
    </row>
    <row r="23" spans="1:36" s="21" customFormat="1">
      <c r="A23" s="21" t="s">
        <v>288</v>
      </c>
      <c r="B23" s="21" t="s">
        <v>289</v>
      </c>
      <c r="C23" s="72" t="s">
        <v>290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291</v>
      </c>
      <c r="B24" s="21" t="s">
        <v>292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293</v>
      </c>
      <c r="B25" s="16" t="s">
        <v>294</v>
      </c>
      <c r="C25" s="30" t="s">
        <v>295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296</v>
      </c>
      <c r="B26" s="16" t="s">
        <v>292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297</v>
      </c>
      <c r="B27" s="71" t="s">
        <v>292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298</v>
      </c>
      <c r="B28" s="71" t="s">
        <v>292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299</v>
      </c>
      <c r="B29" s="118" t="s">
        <v>292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300</v>
      </c>
      <c r="B30" s="70" t="s">
        <v>292</v>
      </c>
    </row>
    <row r="31" spans="1:36">
      <c r="H31" s="86"/>
      <c r="I31" s="86"/>
      <c r="AI31" s="12"/>
    </row>
    <row r="32" spans="1:36">
      <c r="A32" s="3" t="s">
        <v>301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302</v>
      </c>
      <c r="B34" s="11" t="s">
        <v>303</v>
      </c>
    </row>
    <row r="35" spans="1:36">
      <c r="A35" t="s">
        <v>304</v>
      </c>
      <c r="B35" s="72">
        <v>60</v>
      </c>
      <c r="C35" s="86"/>
    </row>
    <row r="36" spans="1:36">
      <c r="A36" t="s">
        <v>305</v>
      </c>
      <c r="B36" s="72">
        <v>2000</v>
      </c>
      <c r="C36" s="86"/>
    </row>
    <row r="37" spans="1:36">
      <c r="A37" t="s">
        <v>306</v>
      </c>
      <c r="B37" s="2">
        <v>0.4</v>
      </c>
    </row>
    <row r="39" spans="1:36">
      <c r="A39" s="3" t="s">
        <v>307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308</v>
      </c>
      <c r="C40" s="193"/>
    </row>
    <row r="41" spans="1:36">
      <c r="A41" s="5" t="s">
        <v>97</v>
      </c>
      <c r="B41" s="191" t="s">
        <v>123</v>
      </c>
      <c r="C41" s="191" t="s">
        <v>92</v>
      </c>
    </row>
    <row r="42" spans="1:36">
      <c r="A42" t="s">
        <v>288</v>
      </c>
      <c r="B42" s="72">
        <v>450</v>
      </c>
      <c r="C42" s="72">
        <v>450</v>
      </c>
    </row>
    <row r="43" spans="1:36">
      <c r="A43" t="s">
        <v>291</v>
      </c>
      <c r="B43" s="72">
        <v>450</v>
      </c>
      <c r="C43" s="72">
        <v>250</v>
      </c>
    </row>
    <row r="44" spans="1:36">
      <c r="A44" t="s">
        <v>293</v>
      </c>
      <c r="B44" s="72">
        <v>50000</v>
      </c>
      <c r="C44" s="72">
        <v>200000</v>
      </c>
    </row>
    <row r="45" spans="1:36">
      <c r="A45" t="s">
        <v>296</v>
      </c>
      <c r="B45" s="72">
        <v>25000</v>
      </c>
      <c r="C45" s="72">
        <v>50000</v>
      </c>
    </row>
    <row r="46" spans="1:36">
      <c r="A46" t="s">
        <v>297</v>
      </c>
      <c r="B46" s="72">
        <v>6000</v>
      </c>
      <c r="C46" s="72">
        <v>12000</v>
      </c>
    </row>
    <row r="47" spans="1:36">
      <c r="A47" t="s">
        <v>298</v>
      </c>
      <c r="B47" s="72">
        <v>4500</v>
      </c>
      <c r="C47" s="72">
        <v>12000</v>
      </c>
    </row>
    <row r="48" spans="1:36">
      <c r="A48" t="s">
        <v>299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310</v>
      </c>
      <c r="H52" s="12" t="s">
        <v>128</v>
      </c>
      <c r="I52" s="12" t="s">
        <v>311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225</v>
      </c>
      <c r="E53" s="10" t="s">
        <v>184</v>
      </c>
      <c r="F53" s="10" t="s">
        <v>244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123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123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123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123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123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123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123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162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221</v>
      </c>
      <c r="J76" s="11" t="s">
        <v>344</v>
      </c>
      <c r="K76" s="11" t="s">
        <v>174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123</v>
      </c>
      <c r="F77" s="12" t="s">
        <v>123</v>
      </c>
      <c r="G77" s="12" t="s">
        <v>346</v>
      </c>
      <c r="H77" s="12" t="s">
        <v>128</v>
      </c>
      <c r="I77" s="12" t="s">
        <v>347</v>
      </c>
      <c r="J77" s="136" t="s">
        <v>348</v>
      </c>
      <c r="K77" s="12" t="s">
        <v>123</v>
      </c>
      <c r="AJ77" s="12"/>
    </row>
    <row r="78" spans="1:36">
      <c r="A78" t="s">
        <v>123</v>
      </c>
      <c r="B78" s="176">
        <v>5</v>
      </c>
      <c r="C78" s="134" t="s">
        <v>349</v>
      </c>
      <c r="D78" s="133"/>
      <c r="E78" s="12" t="s">
        <v>350</v>
      </c>
      <c r="F78" s="12" t="s">
        <v>93</v>
      </c>
      <c r="G78" s="12" t="s">
        <v>351</v>
      </c>
      <c r="H78" s="12" t="s">
        <v>311</v>
      </c>
      <c r="I78" s="12" t="s">
        <v>352</v>
      </c>
      <c r="J78" s="70" t="s">
        <v>353</v>
      </c>
      <c r="K78" s="12" t="s">
        <v>123</v>
      </c>
      <c r="AJ78" s="12"/>
    </row>
    <row r="79" spans="1:36">
      <c r="B79" s="176">
        <v>10</v>
      </c>
      <c r="C79" s="12" t="s">
        <v>94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123</v>
      </c>
      <c r="AJ79" s="12"/>
    </row>
    <row r="80" spans="1:36">
      <c r="B80" s="176">
        <v>20</v>
      </c>
      <c r="C80" s="12" t="s">
        <v>126</v>
      </c>
      <c r="D80" s="12">
        <f>D79+1</f>
        <v>2</v>
      </c>
      <c r="E80" s="12" t="s">
        <v>358</v>
      </c>
      <c r="F80" s="12" t="s">
        <v>359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146</v>
      </c>
      <c r="D81" s="12">
        <f>D80+1</f>
        <v>3</v>
      </c>
      <c r="J81" s="70" t="s">
        <v>360</v>
      </c>
      <c r="K81" s="12" t="s">
        <v>92</v>
      </c>
    </row>
    <row r="82" spans="1:36">
      <c r="B82" s="176">
        <v>40</v>
      </c>
      <c r="C82" s="12" t="s">
        <v>147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361</v>
      </c>
      <c r="D86" s="12">
        <f>D85+1</f>
        <v>8</v>
      </c>
    </row>
    <row r="87" spans="1:36">
      <c r="B87" s="176">
        <v>89.99999999999999</v>
      </c>
      <c r="C87" s="12" t="s">
        <v>362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