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<sst xmlns="http://schemas.openxmlformats.org/spreadsheetml/2006/main" uniqueCount="371">
  <si>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</si>
  <si>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</si>
  <si>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</si>
  <si>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</si>
  <si>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</si>
  <si>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</si>
  <si>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</si>
  <si>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</si>
  <si>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</si>
  <si>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</si>
  <si>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</si>
  <si>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</si>
  <si>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</si>
  <si>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</si>
  <si>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</si>
  <si>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</si>
  <si>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</si>
  <si>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</si>
  <si>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</si>
  <si>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</si>
  <si>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</si>
  <si>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</si>
  <si>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</si>
  <si>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</si>
  <si>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</si>
  <si>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</si>
  <si>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</si>
  <si>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</si>
  <si>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</si>
  <si>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</si>
  <si>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</si>
  <si>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</si>
  <si>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</si>
  <si>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</si>
  <si>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</si>
  <si>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</si>
  <si>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</si>
  <si>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</si>
  <si>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</si>
  <si>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</si>
  <si>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</si>
  <si>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</si>
  <si>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</si>
  <si>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</si>
  <si>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</si>
  <si>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</si>
  <si>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</si>
  <si>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</si>
  <si>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</si>
  <si>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</si>
  <si>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</si>
  <si>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</si>
  <si>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</si>
  <si>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</si>
  <si>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</si>
  <si>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</si>
  <si>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</si>
  <si>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</si>
  <si>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</si>
  <si>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</si>
  <si>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</si>
  <si>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</si>
  <si>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</si>
  <si>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</si>
  <si>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</si>
  <si>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</si>
  <si>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</si>
  <si>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</si>
  <si>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</si>
  <si>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</si>
  <si>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</si>
  <si>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</si>
  <si>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</si>
  <si>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</si>
  <si>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</si>
  <si>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</si>
  <si>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</si>
  <si>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</si>
  <si>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</si>
  <si>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</si>
  <si>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</si>
  <si>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</si>
  <si>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</si>
  <si>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</si>
  <si>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</si>
  <si>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</si>
  <si>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</si>
  <si>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</si>
  <si>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</si>
  <si>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</si>
  <si>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</si>
  <si>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</si>
  <si>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</si>
  <si>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</si>
  <si>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</si>
  <si>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</si>
  <si>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</si>
  <si>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</si>
  <si>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</si>
  <si>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</si>
  <si>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</si>
  <si>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</si>
  <si>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</si>
  <si>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No</t>
  </si>
  <si>
    <t>Never</t>
  </si>
  <si>
    <t>Goat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</si>
  <si>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</si>
  <si>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</si>
  <si>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</si>
  <si>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</si>
  <si>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</si>
  <si>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</si>
  <si>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</si>
  <si>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</si>
  <si>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</si>
  <si>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</si>
  <si>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</si>
  <si>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</si>
  <si>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</si>
  <si>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</si>
  <si>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</si>
  <si>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</si>
  <si>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</si>
  <si>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</si>
  <si>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</si>
  <si>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</si>
  <si>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</si>
  <si>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</si>
  <si>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</si>
  <si>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</si>
  <si>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</si>
  <si>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</si>
  <si>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</si>
  <si>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</si>
  <si>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</si>
  <si>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</si>
  <si>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</si>
  <si>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</si>
  <si>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</si>
  <si>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</si>
  <si>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4/4/2016</t>
  </si>
  <si>
    <t>musoni</t>
  </si>
  <si>
    <t>good loan history</t>
  </si>
  <si>
    <t>11/19/2013</t>
  </si>
  <si>
    <t>mobile</t>
  </si>
  <si>
    <t>poor loan repayment history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</si>
  <si>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</si>
  <si>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</si>
  <si>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</si>
  <si>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</si>
  <si>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</si>
  <si>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</si>
  <si>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</si>
  <si>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</si>
  <si>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July</t>
  </si>
  <si>
    <t>Loan info</t>
  </si>
  <si>
    <t>Branch ID</t>
  </si>
  <si>
    <t>Submission date</t>
  </si>
  <si>
    <t>2017/2/20</t>
  </si>
  <si>
    <t>Loan terms</t>
  </si>
  <si>
    <t>Expected disbursement date</t>
  </si>
  <si>
    <t>Expected first repayment date</t>
  </si>
  <si>
    <t>2017/3/20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</si>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</sst>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Goat, Sheep,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0.5455764384955036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0.09216589861751152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107340</v>
      </c>
    </row>
    <row r="18" spans="1:7">
      <c r="B18" s="1" t="s">
        <v>12</v>
      </c>
      <c r="C18" s="36">
        <f>MIN(Output!B6:M6)</f>
        <v>8945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2017</v>
      </c>
    </row>
    <row r="20" spans="1:7">
      <c r="B20" s="1" t="s">
        <v>14</v>
      </c>
      <c r="C20" s="36">
        <f>MAX(Output!B6:M6)</f>
        <v>8945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51200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8945</v>
      </c>
      <c r="C6" s="51">
        <f>C30-C88</f>
        <v>8945</v>
      </c>
      <c r="D6" s="51">
        <f>D30-D88</f>
        <v>8945</v>
      </c>
      <c r="E6" s="51">
        <f>E30-E88</f>
        <v>8945</v>
      </c>
      <c r="F6" s="51">
        <f>F30-F88</f>
        <v>8945</v>
      </c>
      <c r="G6" s="51">
        <f>G30-G88</f>
        <v>8945</v>
      </c>
      <c r="H6" s="51">
        <f>H30-H88</f>
        <v>8945</v>
      </c>
      <c r="I6" s="51">
        <f>I30-I88</f>
        <v>8945</v>
      </c>
      <c r="J6" s="51">
        <f>J30-J88</f>
        <v>8945</v>
      </c>
      <c r="K6" s="51">
        <f>K30-K88</f>
        <v>8945</v>
      </c>
      <c r="L6" s="51">
        <f>L30-L88</f>
        <v>8945</v>
      </c>
      <c r="M6" s="51">
        <f>M30-M88</f>
        <v>8945</v>
      </c>
      <c r="N6" s="51">
        <f>N30-N88</f>
        <v>8945</v>
      </c>
      <c r="O6" s="51">
        <f>O30-O88</f>
        <v>8945</v>
      </c>
      <c r="P6" s="51">
        <f>P30-P88</f>
        <v>8945</v>
      </c>
      <c r="Q6" s="51">
        <f>Q30-Q88</f>
        <v>8945</v>
      </c>
      <c r="R6" s="51">
        <f>R30-R88</f>
        <v>8945</v>
      </c>
      <c r="S6" s="51">
        <f>S30-S88</f>
        <v>8945</v>
      </c>
      <c r="T6" s="51">
        <f>T30-T88</f>
        <v>233945</v>
      </c>
      <c r="U6" s="51">
        <f>U30-U88</f>
        <v>8945</v>
      </c>
      <c r="V6" s="51">
        <f>V30-V88</f>
        <v>8945</v>
      </c>
      <c r="W6" s="51">
        <f>W30-W88</f>
        <v>8945</v>
      </c>
      <c r="X6" s="51">
        <f>X30-X88</f>
        <v>8945</v>
      </c>
      <c r="Y6" s="51">
        <f>Y30-Y88</f>
        <v>8945</v>
      </c>
      <c r="Z6" s="51">
        <f>SUMIF($B$13:$Y$13,"Yes",B6:Y6)</f>
        <v>116285</v>
      </c>
      <c r="AA6" s="51">
        <f>AA30-AA88</f>
        <v>107340</v>
      </c>
      <c r="AB6" s="51">
        <f>AB30-AB88</f>
        <v>439680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35000</v>
      </c>
      <c r="C7" s="80">
        <f>IF(ISERROR(VLOOKUP(MONTH(C5),Inputs!$D$66:$D$71,1,0)),"",INDEX(Inputs!$B$66:$B$71,MATCH(MONTH(Output!C5),Inputs!$D$66:$D$71,0))-INDEX(Inputs!$C$66:$C$71,MATCH(MONTH(Output!C5),Inputs!$D$66:$D$71,0)))</f>
        <v>20000</v>
      </c>
      <c r="D7" s="80">
        <f>IF(ISERROR(VLOOKUP(MONTH(D5),Inputs!$D$66:$D$71,1,0)),"",INDEX(Inputs!$B$66:$B$71,MATCH(MONTH(Output!D5),Inputs!$D$66:$D$71,0))-INDEX(Inputs!$C$66:$C$71,MATCH(MONTH(Output!D5),Inputs!$D$66:$D$71,0)))</f>
        <v>32000</v>
      </c>
      <c r="E7" s="80">
        <f>IF(ISERROR(VLOOKUP(MONTH(E5),Inputs!$D$66:$D$71,1,0)),"",INDEX(Inputs!$B$66:$B$71,MATCH(MONTH(Output!E5),Inputs!$D$66:$D$71,0))-INDEX(Inputs!$C$66:$C$71,MATCH(MONTH(Output!E5),Inputs!$D$66:$D$71,0)))</f>
        <v>20000</v>
      </c>
      <c r="F7" s="80">
        <f>IF(ISERROR(VLOOKUP(MONTH(F5),Inputs!$D$66:$D$71,1,0)),"",INDEX(Inputs!$B$66:$B$71,MATCH(MONTH(Output!F5),Inputs!$D$66:$D$71,0))-INDEX(Inputs!$C$66:$C$71,MATCH(MONTH(Output!F5),Inputs!$D$66:$D$71,0)))</f>
        <v>10000</v>
      </c>
      <c r="G7" s="80">
        <f>IF(ISERROR(VLOOKUP(MONTH(G5),Inputs!$D$66:$D$71,1,0)),"",INDEX(Inputs!$B$66:$B$71,MATCH(MONTH(Output!G5),Inputs!$D$66:$D$71,0))-INDEX(Inputs!$C$66:$C$71,MATCH(MONTH(Output!G5),Inputs!$D$66:$D$71,0)))</f>
        <v>20000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35000</v>
      </c>
      <c r="O7" s="80">
        <f>IF(ISERROR(VLOOKUP(MONTH(O5),Inputs!$D$66:$D$71,1,0)),"",INDEX(Inputs!$B$66:$B$71,MATCH(MONTH(Output!O5),Inputs!$D$66:$D$71,0))-INDEX(Inputs!$C$66:$C$71,MATCH(MONTH(Output!O5),Inputs!$D$66:$D$71,0)))</f>
        <v>20000</v>
      </c>
      <c r="P7" s="80">
        <f>IF(ISERROR(VLOOKUP(MONTH(P5),Inputs!$D$66:$D$71,1,0)),"",INDEX(Inputs!$B$66:$B$71,MATCH(MONTH(Output!P5),Inputs!$D$66:$D$71,0))-INDEX(Inputs!$C$66:$C$71,MATCH(MONTH(Output!P5),Inputs!$D$66:$D$71,0)))</f>
        <v>32000</v>
      </c>
      <c r="Q7" s="80">
        <f>IF(ISERROR(VLOOKUP(MONTH(Q5),Inputs!$D$66:$D$71,1,0)),"",INDEX(Inputs!$B$66:$B$71,MATCH(MONTH(Output!Q5),Inputs!$D$66:$D$71,0))-INDEX(Inputs!$C$66:$C$71,MATCH(MONTH(Output!Q5),Inputs!$D$66:$D$71,0)))</f>
        <v>20000</v>
      </c>
      <c r="R7" s="80">
        <f>IF(ISERROR(VLOOKUP(MONTH(R5),Inputs!$D$66:$D$71,1,0)),"",INDEX(Inputs!$B$66:$B$71,MATCH(MONTH(Output!R5),Inputs!$D$66:$D$71,0))-INDEX(Inputs!$C$66:$C$71,MATCH(MONTH(Output!R5),Inputs!$D$66:$D$71,0)))</f>
        <v>10000</v>
      </c>
      <c r="S7" s="80">
        <f>IF(ISERROR(VLOOKUP(MONTH(S5),Inputs!$D$66:$D$71,1,0)),"",INDEX(Inputs!$B$66:$B$71,MATCH(MONTH(Output!S5),Inputs!$D$66:$D$71,0))-INDEX(Inputs!$C$66:$C$71,MATCH(MONTH(Output!S5),Inputs!$D$66:$D$71,0)))</f>
        <v>20000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108945</v>
      </c>
      <c r="C11" s="80">
        <f>C6+C9-C10</f>
        <v>7445</v>
      </c>
      <c r="D11" s="80">
        <f>D6+D9-D10</f>
        <v>7445</v>
      </c>
      <c r="E11" s="80">
        <f>E6+E9-E10</f>
        <v>7445</v>
      </c>
      <c r="F11" s="80">
        <f>F6+F9-F10</f>
        <v>7445</v>
      </c>
      <c r="G11" s="80">
        <f>G6+G9-G10</f>
        <v>7445</v>
      </c>
      <c r="H11" s="80">
        <f>H6+H9-H10</f>
        <v>-6840.714285714286</v>
      </c>
      <c r="I11" s="80">
        <f>I6+I9-I10</f>
        <v>-6840.714285714286</v>
      </c>
      <c r="J11" s="80">
        <f>J6+J9-J10</f>
        <v>-6840.714285714286</v>
      </c>
      <c r="K11" s="80">
        <f>K6+K9-K10</f>
        <v>-6840.714285714286</v>
      </c>
      <c r="L11" s="80">
        <f>L6+L9-L10</f>
        <v>-6840.714285714286</v>
      </c>
      <c r="M11" s="80">
        <f>M6+M9-M10</f>
        <v>-6840.714285714286</v>
      </c>
      <c r="N11" s="80">
        <f>N6+N9-N10</f>
        <v>-6840.714285714286</v>
      </c>
      <c r="O11" s="80">
        <f>O6+O9-O10</f>
        <v>8945</v>
      </c>
      <c r="P11" s="80">
        <f>P6+P9-P10</f>
        <v>8945</v>
      </c>
      <c r="Q11" s="80">
        <f>Q6+Q9-Q10</f>
        <v>8945</v>
      </c>
      <c r="R11" s="80">
        <f>R6+R9-R10</f>
        <v>8945</v>
      </c>
      <c r="S11" s="80">
        <f>S6+S9-S10</f>
        <v>8945</v>
      </c>
      <c r="T11" s="80">
        <f>T6+T9-T10</f>
        <v>233945</v>
      </c>
      <c r="U11" s="80">
        <f>U6+U9-U10</f>
        <v>8945</v>
      </c>
      <c r="V11" s="80">
        <f>V6+V9-V10</f>
        <v>8945</v>
      </c>
      <c r="W11" s="80">
        <f>W6+W9-W10</f>
        <v>8945</v>
      </c>
      <c r="X11" s="80">
        <f>X6+X9-X10</f>
        <v>8945</v>
      </c>
      <c r="Y11" s="80">
        <f>Y6+Y9-Y10</f>
        <v>8945</v>
      </c>
      <c r="Z11" s="85">
        <f>SUMIF($B$13:$Y$13,"Yes",B11:Y11)</f>
        <v>98284.99999999997</v>
      </c>
      <c r="AA11" s="80">
        <f>SUM(B11:M11)</f>
        <v>105125.7142857143</v>
      </c>
      <c r="AB11" s="46">
        <f>SUM(B11:Y11)</f>
        <v>421680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0.0127237255068284</v>
      </c>
      <c r="D12" s="82">
        <f>IF(D13="Yes",IF(SUM($B$10:D10)/(SUM($B$6:D6)+SUM($B$9:D9))&lt;0,999.99,SUM($B$10:D10)/(SUM($B$6:D6)+SUM($B$9:D9))),"")</f>
        <v>0.02365277723025979</v>
      </c>
      <c r="E12" s="82">
        <f>IF(E13="Yes",IF(SUM($B$10:E10)/(SUM($B$6:E6)+SUM($B$9:E9))&lt;0,999.99,SUM($B$10:E10)/(SUM($B$6:E6)+SUM($B$9:E9))),"")</f>
        <v>0.03314184710561202</v>
      </c>
      <c r="F12" s="82">
        <f>IF(F13="Yes",IF(SUM($B$10:F10)/(SUM($B$6:F6)+SUM($B$9:F9))&lt;0,999.99,SUM($B$10:F10)/(SUM($B$6:F6)+SUM($B$9:F9))),"")</f>
        <v>0.04145793746761098</v>
      </c>
      <c r="G12" s="82">
        <f>IF(G13="Yes",IF(SUM($B$10:G10)/(SUM($B$6:G6)+SUM($B$9:G9))&lt;0,999.99,SUM($B$10:G10)/(SUM($B$6:G6)+SUM($B$9:G9))),"")</f>
        <v>0.04880588273573241</v>
      </c>
      <c r="H12" s="82">
        <f>IF(H13="Yes",IF(SUM($B$10:H10)/(SUM($B$6:H6)+SUM($B$9:H9))&lt;0,999.99,SUM($B$10:H10)/(SUM($B$6:H6)+SUM($B$9:H9))),"")</f>
        <v>0.1431953650383685</v>
      </c>
      <c r="I12" s="82">
        <f>IF(I13="Yes",IF(SUM($B$10:I10)/(SUM($B$6:I6)+SUM($B$9:I9))&lt;0,999.99,SUM($B$10:I10)/(SUM($B$6:I6)+SUM($B$9:I9))),"")</f>
        <v>0.2277420644172801</v>
      </c>
      <c r="J12" s="82">
        <f>IF(J13="Yes",IF(SUM($B$10:J10)/(SUM($B$6:J6)+SUM($B$9:J9))&lt;0,999.99,SUM($B$10:J10)/(SUM($B$6:J6)+SUM($B$9:J9))),"")</f>
        <v>0.3039092704198934</v>
      </c>
      <c r="K12" s="82">
        <f>IF(K13="Yes",IF(SUM($B$10:K10)/(SUM($B$6:K6)+SUM($B$9:K9))&lt;0,999.99,SUM($B$10:K10)/(SUM($B$6:K6)+SUM($B$9:K9))),"")</f>
        <v>0.3728839120763112</v>
      </c>
      <c r="L12" s="82">
        <f>IF(L13="Yes",IF(SUM($B$10:L10)/(SUM($B$6:L6)+SUM($B$9:L9))&lt;0,999.99,SUM($B$10:L10)/(SUM($B$6:L6)+SUM($B$9:L9))),"")</f>
        <v>0.4356388589862216</v>
      </c>
      <c r="M12" s="82">
        <f>IF(M13="Yes",IF(SUM($B$10:M10)/(SUM($B$6:M6)+SUM($B$9:M9))&lt;0,999.99,SUM($B$10:M10)/(SUM($B$6:M6)+SUM($B$9:M9))),"")</f>
        <v>0.4929790957571415</v>
      </c>
      <c r="N12" s="82">
        <f>IF(N13="Yes",IF(SUM($B$10:N10)/(SUM($B$6:N6)+SUM($B$9:N9))&lt;0,999.99,SUM($B$10:N10)/(SUM($B$6:N6)+SUM($B$9:N9))),"")</f>
        <v>0.5455764384955036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76800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7666.666666666667</v>
      </c>
      <c r="C24" s="36">
        <f>IFERROR(Calculations!$P14/12,"")</f>
        <v>7666.666666666667</v>
      </c>
      <c r="D24" s="36">
        <f>IFERROR(Calculations!$P14/12,"")</f>
        <v>7666.666666666667</v>
      </c>
      <c r="E24" s="36">
        <f>IFERROR(Calculations!$P14/12,"")</f>
        <v>7666.666666666667</v>
      </c>
      <c r="F24" s="36">
        <f>IFERROR(Calculations!$P14/12,"")</f>
        <v>7666.666666666667</v>
      </c>
      <c r="G24" s="36">
        <f>IFERROR(Calculations!$P14/12,"")</f>
        <v>7666.666666666667</v>
      </c>
      <c r="H24" s="36">
        <f>IFERROR(Calculations!$P14/12,"")</f>
        <v>7666.666666666667</v>
      </c>
      <c r="I24" s="36">
        <f>IFERROR(Calculations!$P14/12,"")</f>
        <v>7666.666666666667</v>
      </c>
      <c r="J24" s="36">
        <f>IFERROR(Calculations!$P14/12,"")</f>
        <v>7666.666666666667</v>
      </c>
      <c r="K24" s="36">
        <f>IFERROR(Calculations!$P14/12,"")</f>
        <v>7666.666666666667</v>
      </c>
      <c r="L24" s="36">
        <f>IFERROR(Calculations!$P14/12,"")</f>
        <v>7666.666666666667</v>
      </c>
      <c r="M24" s="36">
        <f>IFERROR(Calculations!$P14/12,"")</f>
        <v>7666.666666666667</v>
      </c>
      <c r="N24" s="36">
        <f>IFERROR(Calculations!$P14/12,"")</f>
        <v>7666.666666666667</v>
      </c>
      <c r="O24" s="36">
        <f>IFERROR(Calculations!$P14/12,"")</f>
        <v>7666.666666666667</v>
      </c>
      <c r="P24" s="36">
        <f>IFERROR(Calculations!$P14/12,"")</f>
        <v>7666.666666666667</v>
      </c>
      <c r="Q24" s="36">
        <f>IFERROR(Calculations!$P14/12,"")</f>
        <v>7666.666666666667</v>
      </c>
      <c r="R24" s="36">
        <f>IFERROR(Calculations!$P14/12,"")</f>
        <v>7666.666666666667</v>
      </c>
      <c r="S24" s="36">
        <f>IFERROR(Calculations!$P14/12,"")</f>
        <v>7666.666666666667</v>
      </c>
      <c r="T24" s="36">
        <f>IFERROR(Calculations!$P14/12,"")</f>
        <v>7666.666666666667</v>
      </c>
      <c r="U24" s="36">
        <f>IFERROR(Calculations!$P14/12,"")</f>
        <v>7666.666666666667</v>
      </c>
      <c r="V24" s="36">
        <f>IFERROR(Calculations!$P14/12,"")</f>
        <v>7666.666666666667</v>
      </c>
      <c r="W24" s="36">
        <f>IFERROR(Calculations!$P14/12,"")</f>
        <v>7666.666666666667</v>
      </c>
      <c r="X24" s="36">
        <f>IFERROR(Calculations!$P14/12,"")</f>
        <v>7666.666666666667</v>
      </c>
      <c r="Y24" s="36">
        <f>IFERROR(Calculations!$P14/12,"")</f>
        <v>7666.666666666667</v>
      </c>
      <c r="Z24" s="36">
        <f>SUMIF($B$13:$Y$13,"Yes",B24:Y24)</f>
        <v>99666.66666666669</v>
      </c>
      <c r="AA24" s="36">
        <f>SUM(B24:M24)</f>
        <v>92000.00000000001</v>
      </c>
      <c r="AB24" s="46">
        <f>SUM(B24:Y24)</f>
        <v>184000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3333.333333333333</v>
      </c>
      <c r="C25" s="36">
        <f>IFERROR(Calculations!$P15/12,"")</f>
        <v>3333.333333333333</v>
      </c>
      <c r="D25" s="36">
        <f>IFERROR(Calculations!$P15/12,"")</f>
        <v>3333.333333333333</v>
      </c>
      <c r="E25" s="36">
        <f>IFERROR(Calculations!$P15/12,"")</f>
        <v>3333.333333333333</v>
      </c>
      <c r="F25" s="36">
        <f>IFERROR(Calculations!$P15/12,"")</f>
        <v>3333.333333333333</v>
      </c>
      <c r="G25" s="36">
        <f>IFERROR(Calculations!$P15/12,"")</f>
        <v>3333.333333333333</v>
      </c>
      <c r="H25" s="36">
        <f>IFERROR(Calculations!$P15/12,"")</f>
        <v>3333.333333333333</v>
      </c>
      <c r="I25" s="36">
        <f>IFERROR(Calculations!$P15/12,"")</f>
        <v>3333.333333333333</v>
      </c>
      <c r="J25" s="36">
        <f>IFERROR(Calculations!$P15/12,"")</f>
        <v>3333.333333333333</v>
      </c>
      <c r="K25" s="36">
        <f>IFERROR(Calculations!$P15/12,"")</f>
        <v>3333.333333333333</v>
      </c>
      <c r="L25" s="36">
        <f>IFERROR(Calculations!$P15/12,"")</f>
        <v>3333.333333333333</v>
      </c>
      <c r="M25" s="36">
        <f>IFERROR(Calculations!$P15/12,"")</f>
        <v>3333.333333333333</v>
      </c>
      <c r="N25" s="36">
        <f>IFERROR(Calculations!$P15/12,"")</f>
        <v>3333.333333333333</v>
      </c>
      <c r="O25" s="36">
        <f>IFERROR(Calculations!$P15/12,"")</f>
        <v>3333.333333333333</v>
      </c>
      <c r="P25" s="36">
        <f>IFERROR(Calculations!$P15/12,"")</f>
        <v>3333.333333333333</v>
      </c>
      <c r="Q25" s="36">
        <f>IFERROR(Calculations!$P15/12,"")</f>
        <v>3333.333333333333</v>
      </c>
      <c r="R25" s="36">
        <f>IFERROR(Calculations!$P15/12,"")</f>
        <v>3333.333333333333</v>
      </c>
      <c r="S25" s="36">
        <f>IFERROR(Calculations!$P15/12,"")</f>
        <v>3333.333333333333</v>
      </c>
      <c r="T25" s="36">
        <f>IFERROR(Calculations!$P15/12,"")</f>
        <v>3333.333333333333</v>
      </c>
      <c r="U25" s="36">
        <f>IFERROR(Calculations!$P15/12,"")</f>
        <v>3333.333333333333</v>
      </c>
      <c r="V25" s="36">
        <f>IFERROR(Calculations!$P15/12,"")</f>
        <v>3333.333333333333</v>
      </c>
      <c r="W25" s="36">
        <f>IFERROR(Calculations!$P15/12,"")</f>
        <v>3333.333333333333</v>
      </c>
      <c r="X25" s="36">
        <f>IFERROR(Calculations!$P15/12,"")</f>
        <v>3333.333333333333</v>
      </c>
      <c r="Y25" s="36">
        <f>IFERROR(Calculations!$P15/12,"")</f>
        <v>3333.333333333333</v>
      </c>
      <c r="Z25" s="36">
        <f>SUMIF($B$13:$Y$13,"Yes",B25:Y25)</f>
        <v>43333.33333333334</v>
      </c>
      <c r="AA25" s="36">
        <f>SUM(B25:M25)</f>
        <v>40000</v>
      </c>
      <c r="AB25" s="46">
        <f>SUM(B25:Y25)</f>
        <v>80000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9375</v>
      </c>
      <c r="C26" s="36">
        <f>IFERROR(Calculations!$P16/12,"")</f>
        <v>9375</v>
      </c>
      <c r="D26" s="36">
        <f>IFERROR(Calculations!$P16/12,"")</f>
        <v>9375</v>
      </c>
      <c r="E26" s="36">
        <f>IFERROR(Calculations!$P16/12,"")</f>
        <v>9375</v>
      </c>
      <c r="F26" s="36">
        <f>IFERROR(Calculations!$P16/12,"")</f>
        <v>9375</v>
      </c>
      <c r="G26" s="36">
        <f>IFERROR(Calculations!$P16/12,"")</f>
        <v>9375</v>
      </c>
      <c r="H26" s="36">
        <f>IFERROR(Calculations!$P16/12,"")</f>
        <v>9375</v>
      </c>
      <c r="I26" s="36">
        <f>IFERROR(Calculations!$P16/12,"")</f>
        <v>9375</v>
      </c>
      <c r="J26" s="36">
        <f>IFERROR(Calculations!$P16/12,"")</f>
        <v>9375</v>
      </c>
      <c r="K26" s="36">
        <f>IFERROR(Calculations!$P16/12,"")</f>
        <v>9375</v>
      </c>
      <c r="L26" s="36">
        <f>IFERROR(Calculations!$P16/12,"")</f>
        <v>9375</v>
      </c>
      <c r="M26" s="36">
        <f>IFERROR(Calculations!$P16/12,"")</f>
        <v>9375</v>
      </c>
      <c r="N26" s="36">
        <f>IFERROR(Calculations!$P16/12,"")</f>
        <v>9375</v>
      </c>
      <c r="O26" s="36">
        <f>IFERROR(Calculations!$P16/12,"")</f>
        <v>9375</v>
      </c>
      <c r="P26" s="36">
        <f>IFERROR(Calculations!$P16/12,"")</f>
        <v>9375</v>
      </c>
      <c r="Q26" s="36">
        <f>IFERROR(Calculations!$P16/12,"")</f>
        <v>9375</v>
      </c>
      <c r="R26" s="36">
        <f>IFERROR(Calculations!$P16/12,"")</f>
        <v>9375</v>
      </c>
      <c r="S26" s="36">
        <f>IFERROR(Calculations!$P16/12,"")</f>
        <v>9375</v>
      </c>
      <c r="T26" s="36">
        <f>IFERROR(Calculations!$P16/12,"")</f>
        <v>9375</v>
      </c>
      <c r="U26" s="36">
        <f>IFERROR(Calculations!$P16/12,"")</f>
        <v>9375</v>
      </c>
      <c r="V26" s="36">
        <f>IFERROR(Calculations!$P16/12,"")</f>
        <v>9375</v>
      </c>
      <c r="W26" s="36">
        <f>IFERROR(Calculations!$P16/12,"")</f>
        <v>9375</v>
      </c>
      <c r="X26" s="36">
        <f>IFERROR(Calculations!$P16/12,"")</f>
        <v>9375</v>
      </c>
      <c r="Y26" s="36">
        <f>IFERROR(Calculations!$P16/12,"")</f>
        <v>9375</v>
      </c>
      <c r="Z26" s="36">
        <f>SUMIF($B$13:$Y$13,"Yes",B26:Y26)</f>
        <v>121875</v>
      </c>
      <c r="AA26" s="36">
        <f>SUM(B26:M26)</f>
        <v>112500</v>
      </c>
      <c r="AB26" s="46">
        <f>SUM(B26:Y26)</f>
        <v>225000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225000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225000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20375</v>
      </c>
      <c r="C30" s="19">
        <f>SUM(C18:C29)</f>
        <v>20375</v>
      </c>
      <c r="D30" s="19">
        <f>SUM(D18:D29)</f>
        <v>20375</v>
      </c>
      <c r="E30" s="19">
        <f>SUM(E18:E29)</f>
        <v>20375</v>
      </c>
      <c r="F30" s="19">
        <f>SUM(F18:F29)</f>
        <v>20375</v>
      </c>
      <c r="G30" s="19">
        <f>SUM(G18:G29)</f>
        <v>20375</v>
      </c>
      <c r="H30" s="19">
        <f>SUM(H18:H29)</f>
        <v>20375</v>
      </c>
      <c r="I30" s="19">
        <f>SUM(I18:I29)</f>
        <v>20375</v>
      </c>
      <c r="J30" s="19">
        <f>SUM(J18:J29)</f>
        <v>20375</v>
      </c>
      <c r="K30" s="19">
        <f>SUM(K18:K29)</f>
        <v>20375</v>
      </c>
      <c r="L30" s="19">
        <f>SUM(L18:L29)</f>
        <v>20375</v>
      </c>
      <c r="M30" s="19">
        <f>SUM(M18:M29)</f>
        <v>20375</v>
      </c>
      <c r="N30" s="19">
        <f>SUM(N18:N29)</f>
        <v>20375</v>
      </c>
      <c r="O30" s="19">
        <f>SUM(O18:O29)</f>
        <v>20375</v>
      </c>
      <c r="P30" s="19">
        <f>SUM(P18:P29)</f>
        <v>20375</v>
      </c>
      <c r="Q30" s="19">
        <f>SUM(Q18:Q29)</f>
        <v>20375</v>
      </c>
      <c r="R30" s="19">
        <f>SUM(R18:R29)</f>
        <v>20375</v>
      </c>
      <c r="S30" s="19">
        <f>SUM(S18:S29)</f>
        <v>20375</v>
      </c>
      <c r="T30" s="19">
        <f>SUM(T18:T29)</f>
        <v>245375</v>
      </c>
      <c r="U30" s="19">
        <f>SUM(U18:U29)</f>
        <v>20375</v>
      </c>
      <c r="V30" s="19">
        <f>SUM(V18:V29)</f>
        <v>20375</v>
      </c>
      <c r="W30" s="19">
        <f>SUM(W18:W29)</f>
        <v>20375</v>
      </c>
      <c r="X30" s="19">
        <f>SUM(X18:X29)</f>
        <v>20375</v>
      </c>
      <c r="Y30" s="19">
        <f>SUM(Y18:Y29)</f>
        <v>20375</v>
      </c>
      <c r="Z30" s="19">
        <f>SUMIF($B$13:$Y$13,"Yes",B30:Y30)</f>
        <v>264875</v>
      </c>
      <c r="AA30" s="19">
        <f>SUM(B30:M30)</f>
        <v>244500</v>
      </c>
      <c r="AB30" s="19">
        <f>SUM(B30:Y30)</f>
        <v>714000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2266.666666666667</v>
      </c>
      <c r="C75" s="46">
        <f>SUM(Calculations!$R$14:$R$16)/12</f>
        <v>2266.666666666667</v>
      </c>
      <c r="D75" s="46">
        <f>SUM(Calculations!$R$14:$R$16)/12</f>
        <v>2266.666666666667</v>
      </c>
      <c r="E75" s="46">
        <f>SUM(Calculations!$R$14:$R$16)/12</f>
        <v>2266.666666666667</v>
      </c>
      <c r="F75" s="46">
        <f>SUM(Calculations!$R$14:$R$16)/12</f>
        <v>2266.666666666667</v>
      </c>
      <c r="G75" s="46">
        <f>SUM(Calculations!$R$14:$R$16)/12</f>
        <v>2266.666666666667</v>
      </c>
      <c r="H75" s="46">
        <f>SUM(Calculations!$R$14:$R$16)/12</f>
        <v>2266.666666666667</v>
      </c>
      <c r="I75" s="46">
        <f>SUM(Calculations!$R$14:$R$16)/12</f>
        <v>2266.666666666667</v>
      </c>
      <c r="J75" s="46">
        <f>SUM(Calculations!$R$14:$R$16)/12</f>
        <v>2266.666666666667</v>
      </c>
      <c r="K75" s="46">
        <f>SUM(Calculations!$R$14:$R$16)/12</f>
        <v>2266.666666666667</v>
      </c>
      <c r="L75" s="46">
        <f>SUM(Calculations!$R$14:$R$16)/12</f>
        <v>2266.666666666667</v>
      </c>
      <c r="M75" s="46">
        <f>SUM(Calculations!$R$14:$R$16)/12</f>
        <v>2266.666666666667</v>
      </c>
      <c r="N75" s="46">
        <f>SUM(Calculations!$R$14:$R$16)/12</f>
        <v>2266.666666666667</v>
      </c>
      <c r="O75" s="46">
        <f>SUM(Calculations!$R$14:$R$16)/12</f>
        <v>2266.666666666667</v>
      </c>
      <c r="P75" s="46">
        <f>SUM(Calculations!$R$14:$R$16)/12</f>
        <v>2266.666666666667</v>
      </c>
      <c r="Q75" s="46">
        <f>SUM(Calculations!$R$14:$R$16)/12</f>
        <v>2266.666666666667</v>
      </c>
      <c r="R75" s="46">
        <f>SUM(Calculations!$R$14:$R$16)/12</f>
        <v>2266.666666666667</v>
      </c>
      <c r="S75" s="46">
        <f>SUM(Calculations!$R$14:$R$16)/12</f>
        <v>2266.666666666667</v>
      </c>
      <c r="T75" s="46">
        <f>SUM(Calculations!$R$14:$R$16)/12</f>
        <v>2266.666666666667</v>
      </c>
      <c r="U75" s="46">
        <f>SUM(Calculations!$R$14:$R$16)/12</f>
        <v>2266.666666666667</v>
      </c>
      <c r="V75" s="46">
        <f>SUM(Calculations!$R$14:$R$16)/12</f>
        <v>2266.666666666667</v>
      </c>
      <c r="W75" s="46">
        <f>SUM(Calculations!$R$14:$R$16)/12</f>
        <v>2266.666666666667</v>
      </c>
      <c r="X75" s="46">
        <f>SUM(Calculations!$R$14:$R$16)/12</f>
        <v>2266.666666666667</v>
      </c>
      <c r="Y75" s="46">
        <f>SUM(Calculations!$R$14:$R$16)/12</f>
        <v>2266.666666666667</v>
      </c>
      <c r="Z75" s="46">
        <f>SUMIF($B$13:$Y$13,"Yes",B75:Y75)</f>
        <v>29466.66666666667</v>
      </c>
      <c r="AA75" s="46">
        <f>SUM(B75:M75)</f>
        <v>27200</v>
      </c>
      <c r="AB75" s="46">
        <f>SUM(B75:Y75)</f>
        <v>54399.99999999999</v>
      </c>
    </row>
    <row r="76" spans="1:30">
      <c r="A76" s="16" t="s">
        <v>48</v>
      </c>
      <c r="B76" s="46">
        <f>SUM(Calculations!$S$14:$S$16)/12</f>
        <v>3200</v>
      </c>
      <c r="C76" s="46">
        <f>SUM(Calculations!$S$14:$S$16)/12</f>
        <v>3200</v>
      </c>
      <c r="D76" s="46">
        <f>SUM(Calculations!$S$14:$S$16)/12</f>
        <v>3200</v>
      </c>
      <c r="E76" s="46">
        <f>SUM(Calculations!$S$14:$S$16)/12</f>
        <v>3200</v>
      </c>
      <c r="F76" s="46">
        <f>SUM(Calculations!$S$14:$S$16)/12</f>
        <v>3200</v>
      </c>
      <c r="G76" s="46">
        <f>SUM(Calculations!$S$14:$S$16)/12</f>
        <v>3200</v>
      </c>
      <c r="H76" s="46">
        <f>SUM(Calculations!$S$14:$S$16)/12</f>
        <v>3200</v>
      </c>
      <c r="I76" s="46">
        <f>SUM(Calculations!$S$14:$S$16)/12</f>
        <v>3200</v>
      </c>
      <c r="J76" s="46">
        <f>SUM(Calculations!$S$14:$S$16)/12</f>
        <v>3200</v>
      </c>
      <c r="K76" s="46">
        <f>SUM(Calculations!$S$14:$S$16)/12</f>
        <v>3200</v>
      </c>
      <c r="L76" s="46">
        <f>SUM(Calculations!$S$14:$S$16)/12</f>
        <v>3200</v>
      </c>
      <c r="M76" s="46">
        <f>SUM(Calculations!$S$14:$S$16)/12</f>
        <v>3200</v>
      </c>
      <c r="N76" s="46">
        <f>SUM(Calculations!$S$14:$S$16)/12</f>
        <v>3200</v>
      </c>
      <c r="O76" s="46">
        <f>SUM(Calculations!$S$14:$S$16)/12</f>
        <v>3200</v>
      </c>
      <c r="P76" s="46">
        <f>SUM(Calculations!$S$14:$S$16)/12</f>
        <v>3200</v>
      </c>
      <c r="Q76" s="46">
        <f>SUM(Calculations!$S$14:$S$16)/12</f>
        <v>3200</v>
      </c>
      <c r="R76" s="46">
        <f>SUM(Calculations!$S$14:$S$16)/12</f>
        <v>3200</v>
      </c>
      <c r="S76" s="46">
        <f>SUM(Calculations!$S$14:$S$16)/12</f>
        <v>3200</v>
      </c>
      <c r="T76" s="46">
        <f>SUM(Calculations!$S$14:$S$16)/12</f>
        <v>3200</v>
      </c>
      <c r="U76" s="46">
        <f>SUM(Calculations!$S$14:$S$16)/12</f>
        <v>3200</v>
      </c>
      <c r="V76" s="46">
        <f>SUM(Calculations!$S$14:$S$16)/12</f>
        <v>3200</v>
      </c>
      <c r="W76" s="46">
        <f>SUM(Calculations!$S$14:$S$16)/12</f>
        <v>3200</v>
      </c>
      <c r="X76" s="46">
        <f>SUM(Calculations!$S$14:$S$16)/12</f>
        <v>3200</v>
      </c>
      <c r="Y76" s="46">
        <f>SUM(Calculations!$S$14:$S$16)/12</f>
        <v>3200</v>
      </c>
      <c r="Z76" s="46">
        <f>SUMIF($B$13:$Y$13,"Yes",B76:Y76)</f>
        <v>41600</v>
      </c>
      <c r="AA76" s="46">
        <f>SUM(B76:M76)</f>
        <v>38400</v>
      </c>
      <c r="AB76" s="46">
        <f>SUM(B76:Y76)</f>
        <v>76800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5963.333333333333</v>
      </c>
      <c r="C81" s="46">
        <f>(SUM($AA$18:$AA$29)-SUM($AA$36,$AA$42,$AA$48,$AA$54,$AA$60,$AA$66,$AA$72:$AA$79))*Parameters!$B$37/12</f>
        <v>5963.333333333333</v>
      </c>
      <c r="D81" s="46">
        <f>(SUM($AA$18:$AA$29)-SUM($AA$36,$AA$42,$AA$48,$AA$54,$AA$60,$AA$66,$AA$72:$AA$79))*Parameters!$B$37/12</f>
        <v>5963.333333333333</v>
      </c>
      <c r="E81" s="46">
        <f>(SUM($AA$18:$AA$29)-SUM($AA$36,$AA$42,$AA$48,$AA$54,$AA$60,$AA$66,$AA$72:$AA$79))*Parameters!$B$37/12</f>
        <v>5963.333333333333</v>
      </c>
      <c r="F81" s="46">
        <f>(SUM($AA$18:$AA$29)-SUM($AA$36,$AA$42,$AA$48,$AA$54,$AA$60,$AA$66,$AA$72:$AA$79))*Parameters!$B$37/12</f>
        <v>5963.333333333333</v>
      </c>
      <c r="G81" s="46">
        <f>(SUM($AA$18:$AA$29)-SUM($AA$36,$AA$42,$AA$48,$AA$54,$AA$60,$AA$66,$AA$72:$AA$79))*Parameters!$B$37/12</f>
        <v>5963.333333333333</v>
      </c>
      <c r="H81" s="46">
        <f>(SUM($AA$18:$AA$29)-SUM($AA$36,$AA$42,$AA$48,$AA$54,$AA$60,$AA$66,$AA$72:$AA$79))*Parameters!$B$37/12</f>
        <v>5963.333333333333</v>
      </c>
      <c r="I81" s="46">
        <f>(SUM($AA$18:$AA$29)-SUM($AA$36,$AA$42,$AA$48,$AA$54,$AA$60,$AA$66,$AA$72:$AA$79))*Parameters!$B$37/12</f>
        <v>5963.333333333333</v>
      </c>
      <c r="J81" s="46">
        <f>(SUM($AA$18:$AA$29)-SUM($AA$36,$AA$42,$AA$48,$AA$54,$AA$60,$AA$66,$AA$72:$AA$79))*Parameters!$B$37/12</f>
        <v>5963.333333333333</v>
      </c>
      <c r="K81" s="46">
        <f>(SUM($AA$18:$AA$29)-SUM($AA$36,$AA$42,$AA$48,$AA$54,$AA$60,$AA$66,$AA$72:$AA$79))*Parameters!$B$37/12</f>
        <v>5963.333333333333</v>
      </c>
      <c r="L81" s="46">
        <f>(SUM($AA$18:$AA$29)-SUM($AA$36,$AA$42,$AA$48,$AA$54,$AA$60,$AA$66,$AA$72:$AA$79))*Parameters!$B$37/12</f>
        <v>5963.333333333333</v>
      </c>
      <c r="M81" s="46">
        <f>(SUM($AA$18:$AA$29)-SUM($AA$36,$AA$42,$AA$48,$AA$54,$AA$60,$AA$66,$AA$72:$AA$79))*Parameters!$B$37/12</f>
        <v>5963.333333333333</v>
      </c>
      <c r="N81" s="46">
        <f>(SUM($AA$18:$AA$29)-SUM($AA$36,$AA$42,$AA$48,$AA$54,$AA$60,$AA$66,$AA$72:$AA$79))*Parameters!$B$37/12</f>
        <v>5963.333333333333</v>
      </c>
      <c r="O81" s="46">
        <f>(SUM($AA$18:$AA$29)-SUM($AA$36,$AA$42,$AA$48,$AA$54,$AA$60,$AA$66,$AA$72:$AA$79))*Parameters!$B$37/12</f>
        <v>5963.333333333333</v>
      </c>
      <c r="P81" s="46">
        <f>(SUM($AA$18:$AA$29)-SUM($AA$36,$AA$42,$AA$48,$AA$54,$AA$60,$AA$66,$AA$72:$AA$79))*Parameters!$B$37/12</f>
        <v>5963.333333333333</v>
      </c>
      <c r="Q81" s="46">
        <f>(SUM($AA$18:$AA$29)-SUM($AA$36,$AA$42,$AA$48,$AA$54,$AA$60,$AA$66,$AA$72:$AA$79))*Parameters!$B$37/12</f>
        <v>5963.333333333333</v>
      </c>
      <c r="R81" s="46">
        <f>(SUM($AA$18:$AA$29)-SUM($AA$36,$AA$42,$AA$48,$AA$54,$AA$60,$AA$66,$AA$72:$AA$79))*Parameters!$B$37/12</f>
        <v>5963.333333333333</v>
      </c>
      <c r="S81" s="46">
        <f>(SUM($AA$18:$AA$29)-SUM($AA$36,$AA$42,$AA$48,$AA$54,$AA$60,$AA$66,$AA$72:$AA$79))*Parameters!$B$37/12</f>
        <v>5963.333333333333</v>
      </c>
      <c r="T81" s="46">
        <f>(SUM($AA$18:$AA$29)-SUM($AA$36,$AA$42,$AA$48,$AA$54,$AA$60,$AA$66,$AA$72:$AA$79))*Parameters!$B$37/12</f>
        <v>5963.333333333333</v>
      </c>
      <c r="U81" s="46">
        <f>(SUM($AA$18:$AA$29)-SUM($AA$36,$AA$42,$AA$48,$AA$54,$AA$60,$AA$66,$AA$72:$AA$79))*Parameters!$B$37/12</f>
        <v>5963.333333333333</v>
      </c>
      <c r="V81" s="46">
        <f>(SUM($AA$18:$AA$29)-SUM($AA$36,$AA$42,$AA$48,$AA$54,$AA$60,$AA$66,$AA$72:$AA$79))*Parameters!$B$37/12</f>
        <v>5963.333333333333</v>
      </c>
      <c r="W81" s="46">
        <f>(SUM($AA$18:$AA$29)-SUM($AA$36,$AA$42,$AA$48,$AA$54,$AA$60,$AA$66,$AA$72:$AA$79))*Parameters!$B$37/12</f>
        <v>5963.333333333333</v>
      </c>
      <c r="X81" s="46">
        <f>(SUM($AA$18:$AA$29)-SUM($AA$36,$AA$42,$AA$48,$AA$54,$AA$60,$AA$66,$AA$72:$AA$79))*Parameters!$B$37/12</f>
        <v>5963.333333333333</v>
      </c>
      <c r="Y81" s="46">
        <f>(SUM($AA$18:$AA$29)-SUM($AA$36,$AA$42,$AA$48,$AA$54,$AA$60,$AA$66,$AA$72:$AA$79))*Parameters!$B$37/12</f>
        <v>5963.333333333333</v>
      </c>
      <c r="Z81" s="46">
        <f>SUMIF($B$13:$Y$13,"Yes",B81:Y81)</f>
        <v>77523.33333333333</v>
      </c>
      <c r="AA81" s="46">
        <f>SUM(B81:M81)</f>
        <v>71560</v>
      </c>
      <c r="AB81" s="46">
        <f>SUM(B81:Y81)</f>
        <v>143120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11430</v>
      </c>
      <c r="C88" s="19">
        <f>SUM(C72:C82,C66,C60,C54,C48,C42,C36)</f>
        <v>11430</v>
      </c>
      <c r="D88" s="19">
        <f>SUM(D72:D82,D66,D60,D54,D48,D42,D36)</f>
        <v>11430</v>
      </c>
      <c r="E88" s="19">
        <f>SUM(E72:E82,E66,E60,E54,E48,E42,E36)</f>
        <v>11430</v>
      </c>
      <c r="F88" s="19">
        <f>SUM(F72:F82,F66,F60,F54,F48,F42,F36)</f>
        <v>11430</v>
      </c>
      <c r="G88" s="19">
        <f>SUM(G72:G82,G66,G60,G54,G48,G42,G36)</f>
        <v>11430</v>
      </c>
      <c r="H88" s="19">
        <f>SUM(H72:H82,H66,H60,H54,H48,H42,H36)</f>
        <v>11430</v>
      </c>
      <c r="I88" s="19">
        <f>SUM(I72:I82,I66,I60,I54,I48,I42,I36)</f>
        <v>11430</v>
      </c>
      <c r="J88" s="19">
        <f>SUM(J72:J82,J66,J60,J54,J48,J42,J36)</f>
        <v>11430</v>
      </c>
      <c r="K88" s="19">
        <f>SUM(K72:K82,K66,K60,K54,K48,K42,K36)</f>
        <v>11430</v>
      </c>
      <c r="L88" s="19">
        <f>SUM(L72:L82,L66,L60,L54,L48,L42,L36)</f>
        <v>11430</v>
      </c>
      <c r="M88" s="19">
        <f>SUM(M72:M82,M66,M60,M54,M48,M42,M36)</f>
        <v>11430</v>
      </c>
      <c r="N88" s="19">
        <f>SUM(N72:N82,N66,N60,N54,N48,N42,N36)</f>
        <v>11430</v>
      </c>
      <c r="O88" s="19">
        <f>SUM(O72:O82,O66,O60,O54,O48,O42,O36)</f>
        <v>11430</v>
      </c>
      <c r="P88" s="19">
        <f>SUM(P72:P82,P66,P60,P54,P48,P42,P36)</f>
        <v>11430</v>
      </c>
      <c r="Q88" s="19">
        <f>SUM(Q72:Q82,Q66,Q60,Q54,Q48,Q42,Q36)</f>
        <v>11430</v>
      </c>
      <c r="R88" s="19">
        <f>SUM(R72:R82,R66,R60,R54,R48,R42,R36)</f>
        <v>11430</v>
      </c>
      <c r="S88" s="19">
        <f>SUM(S72:S82,S66,S60,S54,S48,S42,S36)</f>
        <v>11430</v>
      </c>
      <c r="T88" s="19">
        <f>SUM(T72:T82,T66,T60,T54,T48,T42,T36)</f>
        <v>11430</v>
      </c>
      <c r="U88" s="19">
        <f>SUM(U72:U82,U66,U60,U54,U48,U42,U36)</f>
        <v>11430</v>
      </c>
      <c r="V88" s="19">
        <f>SUM(V72:V82,V66,V60,V54,V48,V42,V36)</f>
        <v>11430</v>
      </c>
      <c r="W88" s="19">
        <f>SUM(W72:W82,W66,W60,W54,W48,W42,W36)</f>
        <v>11430</v>
      </c>
      <c r="X88" s="19">
        <f>SUM(X72:X82,X66,X60,X54,X48,X42,X36)</f>
        <v>11430</v>
      </c>
      <c r="Y88" s="19">
        <f>SUM(Y72:Y82,Y66,Y60,Y54,Y48,Y42,Y36)</f>
        <v>11430</v>
      </c>
      <c r="Z88" s="19">
        <f>SUMIF($B$13:$Y$13,"Yes",B88:Y88)</f>
        <v>148590</v>
      </c>
      <c r="AA88" s="19">
        <f>SUM(B88:M88)</f>
        <v>137160</v>
      </c>
      <c r="AB88" s="19">
        <f>SUM(B88:Y88)</f>
        <v>274320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25000</v>
      </c>
    </row>
    <row r="96" spans="1:30">
      <c r="A96" t="s">
        <v>62</v>
      </c>
      <c r="B96" s="36">
        <f>SUMPRODUCT(Inputs!C19:C21,Calculations!O14:O16)</f>
        <v>810000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1085000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12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40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60</v>
      </c>
      <c r="D21" s="150">
        <v>0</v>
      </c>
      <c r="E21" s="23"/>
      <c r="F21" s="150" t="s">
        <v>103</v>
      </c>
      <c r="G21" s="23"/>
      <c r="H21" s="23"/>
      <c r="I21" s="150" t="s">
        <v>104</v>
      </c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80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0</v>
      </c>
    </row>
    <row r="31" spans="1:48">
      <c r="A31" s="5" t="s">
        <v>113</v>
      </c>
      <c r="B31" s="158">
        <v>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121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121</v>
      </c>
    </row>
    <row r="45" spans="1:48">
      <c r="A45" s="56" t="s">
        <v>127</v>
      </c>
      <c r="B45" s="161">
        <v>250000</v>
      </c>
    </row>
    <row r="46" spans="1:48" customHeight="1" ht="30">
      <c r="A46" s="57" t="s">
        <v>128</v>
      </c>
      <c r="B46" s="161">
        <v>0</v>
      </c>
    </row>
    <row r="47" spans="1:48" customHeight="1" ht="30">
      <c r="A47" s="57" t="s">
        <v>129</v>
      </c>
      <c r="B47" s="161">
        <v>25000</v>
      </c>
    </row>
    <row r="48" spans="1:48" customHeight="1" ht="30">
      <c r="A48" s="57" t="s">
        <v>130</v>
      </c>
      <c r="B48" s="161">
        <v>0</v>
      </c>
    </row>
    <row r="49" spans="1:48" customHeight="1" ht="30">
      <c r="A49" s="57" t="s">
        <v>131</v>
      </c>
      <c r="B49" s="161">
        <v>0</v>
      </c>
    </row>
    <row r="50" spans="1:48">
      <c r="A50" s="43"/>
      <c r="B50" s="36"/>
    </row>
    <row r="51" spans="1:48">
      <c r="A51" s="58" t="s">
        <v>132</v>
      </c>
      <c r="B51" s="161">
        <v>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100000</v>
      </c>
      <c r="B56" s="159">
        <v>0</v>
      </c>
      <c r="C56" s="162" t="s">
        <v>140</v>
      </c>
      <c r="D56" s="163" t="s">
        <v>141</v>
      </c>
      <c r="E56" s="163" t="s">
        <v>121</v>
      </c>
      <c r="F56" s="163" t="s">
        <v>142</v>
      </c>
    </row>
    <row r="57" spans="1:48">
      <c r="A57" s="157">
        <v>2400</v>
      </c>
      <c r="B57" s="157">
        <v>0</v>
      </c>
      <c r="C57" s="164" t="s">
        <v>143</v>
      </c>
      <c r="D57" s="165" t="s">
        <v>144</v>
      </c>
      <c r="E57" s="165" t="s">
        <v>121</v>
      </c>
      <c r="F57" s="165" t="s">
        <v>145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147</v>
      </c>
      <c r="C65" s="10" t="s">
        <v>148</v>
      </c>
    </row>
    <row r="66" spans="1:48">
      <c r="A66" s="142" t="s">
        <v>149</v>
      </c>
      <c r="B66" s="159">
        <v>120000</v>
      </c>
      <c r="C66" s="163">
        <v>85000</v>
      </c>
      <c r="D66" s="49">
        <f>INDEX(Parameters!$D$79:$D$90,MATCH(Inputs!A66,Parameters!$C$79:$C$90,0))</f>
        <v>2</v>
      </c>
    </row>
    <row r="67" spans="1:48">
      <c r="A67" s="143" t="s">
        <v>150</v>
      </c>
      <c r="B67" s="157">
        <v>50000</v>
      </c>
      <c r="C67" s="165">
        <v>30000</v>
      </c>
      <c r="D67" s="49">
        <f>INDEX(Parameters!$D$79:$D$90,MATCH(Inputs!A67,Parameters!$C$79:$C$90,0))</f>
        <v>3</v>
      </c>
    </row>
    <row r="68" spans="1:48">
      <c r="A68" s="143" t="s">
        <v>151</v>
      </c>
      <c r="B68" s="157">
        <v>90000</v>
      </c>
      <c r="C68" s="165">
        <v>58000</v>
      </c>
      <c r="D68" s="49">
        <f>INDEX(Parameters!$D$79:$D$90,MATCH(Inputs!A68,Parameters!$C$79:$C$90,0))</f>
        <v>4</v>
      </c>
    </row>
    <row r="69" spans="1:48">
      <c r="A69" s="143" t="s">
        <v>152</v>
      </c>
      <c r="B69" s="157">
        <v>85000</v>
      </c>
      <c r="C69" s="165">
        <v>65000</v>
      </c>
      <c r="D69" s="49">
        <f>INDEX(Parameters!$D$79:$D$90,MATCH(Inputs!A69,Parameters!$C$79:$C$90,0))</f>
        <v>5</v>
      </c>
    </row>
    <row r="70" spans="1:48">
      <c r="A70" s="143" t="s">
        <v>153</v>
      </c>
      <c r="B70" s="157">
        <v>85000</v>
      </c>
      <c r="C70" s="165">
        <v>75000</v>
      </c>
      <c r="D70" s="49">
        <f>INDEX(Parameters!$D$79:$D$90,MATCH(Inputs!A70,Parameters!$C$79:$C$90,0))</f>
        <v>6</v>
      </c>
    </row>
    <row r="71" spans="1:48">
      <c r="A71" s="144" t="s">
        <v>154</v>
      </c>
      <c r="B71" s="158">
        <v>150000</v>
      </c>
      <c r="C71" s="167">
        <v>130000</v>
      </c>
      <c r="D71" s="49">
        <f>INDEX(Parameters!$D$79:$D$90,MATCH(Inputs!A71,Parameters!$C$79:$C$90,0))</f>
        <v>7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15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100000</v>
      </c>
    </row>
    <row r="82" spans="1:48">
      <c r="A82" t="s">
        <v>164</v>
      </c>
      <c r="B82" s="161">
        <v>18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>
        <v>5</v>
      </c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12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92000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7200</v>
      </c>
      <c r="S14" s="63">
        <f>IFERROR(D14*INDEX(Parameters!$A$22:$P$29,MATCH(Calculations!$A14,Parameters!$A$22:$A$29,0),MATCH(Parameters!$N$22,Parameters!$A$22:$P$22,0)),"")</f>
        <v>8400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40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40000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8000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60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112500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12000</v>
      </c>
      <c r="S16" s="64">
        <f>IFERROR(D16*INDEX(Parameters!$A$22:$P$29,MATCH(Calculations!$A16,Parameters!$A$22:$A$29,0),MATCH(Parameters!$N$22,Parameters!$A$22:$P$22,0)),"")</f>
        <v>18000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60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43313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225000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2400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42814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42795</v>
      </c>
      <c r="F33" t="s">
        <v>160</v>
      </c>
      <c r="G33" s="128">
        <f>IF(Inputs!B79="","",DATE(YEAR(Inputs!B79),MONTH(Inputs!B79),DAY(Inputs!B79)))</f>
        <v>42786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42845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42826</v>
      </c>
      <c r="F34" t="s">
        <v>161</v>
      </c>
      <c r="G34" s="128">
        <f>IF(Inputs!B80="","",DATE(YEAR(Inputs!B80),MONTH(Inputs!B80),DAY(Inputs!B80)))</f>
        <v>42814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42875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42856</v>
      </c>
      <c r="F35" t="s">
        <v>163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42906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42887</v>
      </c>
      <c r="F36" t="s">
        <v>164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42936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42917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42967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42948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42998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42979</v>
      </c>
      <c r="F39" t="s">
        <v>169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43028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43009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43059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43040</v>
      </c>
      <c r="F41" t="s">
        <v>227</v>
      </c>
      <c r="G41" s="73">
        <f>IFERROR(G35/(G38-G39),"")</f>
        <v>14285.71428571429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43089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43070</v>
      </c>
      <c r="F42" t="s">
        <v>228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43120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43151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43132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201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298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105</v>
      </c>
      <c r="B27" s="71" t="s">
        <v>298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106</v>
      </c>
      <c r="B28" s="71" t="s">
        <v>298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298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90</v>
      </c>
      <c r="B41" s="191" t="s">
        <v>103</v>
      </c>
      <c r="C41" s="191" t="s">
        <v>121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105</v>
      </c>
      <c r="B46" s="72">
        <v>6000</v>
      </c>
      <c r="C46" s="72">
        <v>12000</v>
      </c>
    </row>
    <row r="47" spans="1:36">
      <c r="A47" t="s">
        <v>106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313</v>
      </c>
      <c r="H52" s="12" t="s">
        <v>125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229</v>
      </c>
      <c r="E53" s="10" t="s">
        <v>188</v>
      </c>
      <c r="F53" s="10" t="s">
        <v>248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121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121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121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121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121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121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121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121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121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121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121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166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225</v>
      </c>
      <c r="J76" s="11" t="s">
        <v>347</v>
      </c>
      <c r="K76" s="11" t="s">
        <v>178</v>
      </c>
      <c r="AJ76" s="12"/>
    </row>
    <row r="77" spans="1:36">
      <c r="A77" t="s">
        <v>121</v>
      </c>
      <c r="B77" s="176">
        <v>0</v>
      </c>
      <c r="C77" s="12" t="s">
        <v>348</v>
      </c>
      <c r="E77" s="12" t="s">
        <v>103</v>
      </c>
      <c r="F77" s="12" t="s">
        <v>103</v>
      </c>
      <c r="G77" s="12" t="s">
        <v>104</v>
      </c>
      <c r="H77" s="12" t="s">
        <v>125</v>
      </c>
      <c r="I77" s="12" t="s">
        <v>349</v>
      </c>
      <c r="J77" s="136" t="s">
        <v>350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314</v>
      </c>
      <c r="I78" s="12" t="s">
        <v>355</v>
      </c>
      <c r="J78" s="70" t="s">
        <v>356</v>
      </c>
      <c r="K78" s="12" t="s">
        <v>103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166</v>
      </c>
      <c r="J79" s="70" t="s">
        <v>361</v>
      </c>
      <c r="K79" s="12" t="s">
        <v>103</v>
      </c>
      <c r="AJ79" s="12"/>
    </row>
    <row r="80" spans="1:36">
      <c r="B80" s="176">
        <v>20</v>
      </c>
      <c r="C80" s="12" t="s">
        <v>149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121</v>
      </c>
      <c r="AJ80" s="12"/>
    </row>
    <row r="81" spans="1:36">
      <c r="B81" s="176">
        <v>30</v>
      </c>
      <c r="C81" s="12" t="s">
        <v>150</v>
      </c>
      <c r="D81" s="12">
        <f>D80+1</f>
        <v>3</v>
      </c>
      <c r="J81" s="70" t="s">
        <v>365</v>
      </c>
      <c r="K81" s="12" t="s">
        <v>121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367</v>
      </c>
      <c r="D87" s="12">
        <f>D86+1</f>
        <v>9</v>
      </c>
    </row>
    <row r="88" spans="1:36">
      <c r="B88" s="176">
        <v>99.99999999999999</v>
      </c>
      <c r="C88" s="12" t="s">
        <v>368</v>
      </c>
      <c r="D88" s="12">
        <f>D87+1</f>
        <v>10</v>
      </c>
    </row>
    <row r="89" spans="1:36">
      <c r="C89" s="12" t="s">
        <v>369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