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<sst xmlns="http://schemas.openxmlformats.org/spreadsheetml/2006/main" uniqueCount="376">
  <si>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</si>
  <si>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</si>
  <si>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</si>
  <si>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</si>
  <si>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</si>
  <si>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</si>
  <si>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</si>
  <si>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</si>
  <si>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</si>
  <si>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</si>
  <si>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</si>
  <si>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</si>
  <si>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</si>
  <si>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</si>
  <si>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</si>
  <si>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</si>
  <si>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</si>
  <si>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</si>
  <si>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</si>
  <si>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</si>
  <si>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</si>
  <si>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</si>
  <si>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</si>
  <si>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</si>
  <si>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</si>
  <si>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</si>
  <si>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</si>
  <si>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</si>
  <si>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</si>
  <si>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</si>
  <si>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</si>
  <si>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</si>
  <si>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</si>
  <si>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</si>
  <si>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</si>
  <si>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</si>
  <si>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</si>
  <si>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</si>
  <si>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</si>
  <si>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</si>
  <si>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</si>
  <si>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</si>
  <si>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</si>
  <si>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</si>
  <si>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</si>
  <si>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</si>
  <si>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</si>
  <si>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</si>
  <si>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</si>
  <si>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</si>
  <si>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</si>
  <si>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</si>
  <si>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</si>
  <si>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</si>
  <si>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</si>
  <si>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</si>
  <si>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</si>
  <si>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</si>
  <si>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</si>
  <si>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</si>
  <si>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</si>
  <si>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</si>
  <si>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</si>
  <si>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</si>
  <si>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</si>
  <si>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</si>
  <si>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</si>
  <si>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</si>
  <si>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</si>
  <si>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</si>
  <si>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</si>
  <si>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</si>
  <si>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</si>
  <si>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</si>
  <si>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</si>
  <si>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</si>
  <si>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</si>
  <si>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</si>
  <si>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</si>
  <si>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</si>
  <si>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</si>
  <si>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</si>
  <si>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</si>
  <si>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</si>
  <si>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</si>
  <si>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</si>
  <si>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</si>
  <si>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</si>
  <si>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</si>
  <si>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</si>
  <si>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</si>
  <si>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</si>
  <si>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</si>
  <si>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</si>
  <si>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March</t>
  </si>
  <si>
    <t>Wheat</t>
  </si>
  <si>
    <t>Maize</t>
  </si>
  <si>
    <t>Yes only manure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</si>
  <si>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</si>
  <si>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</si>
  <si>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</si>
  <si>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</si>
  <si>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</si>
  <si>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</si>
  <si>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</si>
  <si>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</si>
  <si>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</si>
  <si>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</si>
  <si>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</si>
  <si>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</si>
  <si>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</si>
  <si>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</si>
  <si>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</si>
  <si>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</si>
  <si>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</si>
  <si>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</si>
  <si>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</si>
  <si>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Tractor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</si>
  <si>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</si>
  <si>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</si>
  <si>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</si>
  <si>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</si>
  <si>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</si>
  <si>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</si>
  <si>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</si>
  <si>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Construction </t>
  </si>
  <si>
    <t>May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</si>
  <si>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</si>
  <si>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</si>
  <si>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</si>
  <si>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</si>
  <si>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</si>
  <si>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</si>
  <si>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</si>
  <si>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</si>
  <si>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</si>
  <si>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</si>
  <si>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</si>
  <si>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</si>
  <si>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</si>
  <si>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</si>
  <si>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</si>
  <si>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</si>
  <si>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</si>
  <si>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</si>
  <si>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</si>
  <si>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</si>
  <si>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11/21/2014</t>
  </si>
  <si>
    <t xml:space="preserve">Family Bank </t>
  </si>
  <si>
    <t xml:space="preserve">cleared </t>
  </si>
  <si>
    <t>1/15/2014</t>
  </si>
  <si>
    <t xml:space="preserve">Family </t>
  </si>
  <si>
    <t>6/30/2016</t>
  </si>
  <si>
    <t xml:space="preserve">Mobile loan </t>
  </si>
  <si>
    <t>5/17/2015</t>
  </si>
  <si>
    <t>10/30/2016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</si>
  <si>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</si>
  <si>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</si>
  <si>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</si>
  <si>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</si>
  <si>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</si>
  <si>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</si>
  <si>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</si>
  <si>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</si>
  <si>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</si>
  <si>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</si>
  <si>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</si>
  <si>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</si>
  <si>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2017/2/22</t>
  </si>
  <si>
    <t>Loan terms</t>
  </si>
  <si>
    <t>Expected disbursement date</t>
  </si>
  <si>
    <t>Expected first repayment date</t>
  </si>
  <si>
    <t>2017/3/22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</si>
  <si>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</si>
  <si>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</si>
  <si>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</si>
  <si>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</si>
  <si>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</si>
  <si>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</si>
  <si>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</si>
  <si>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</si>
  <si>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</si>
  <si>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</si>
  <si>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</si>
  <si>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</si>
  <si>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</si>
  <si>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</si>
  <si>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</si>
  <si>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</si>
  <si>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</si>
  <si>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</si>
  <si>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</si>
  <si>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</si>
  <si>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</si>
  <si>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</si>
  <si>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</si>
  <si>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</si>
  <si>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</si>
  <si>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</si>
  <si>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</si>
  <si>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</si>
  <si>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</si>
  <si>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</si>
  <si>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</si>
  <si>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</si>
  <si>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</si>
  <si>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</si>
  <si>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</si>
  <si>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</si>
  <si>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</si>
  <si>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</si>
  <si>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</si>
  <si>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</si>
  <si>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</si>
  <si>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</si>
  <si>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</si>
  <si>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</si>
  <si>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</si>
  <si>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</si>
  <si>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</si>
  <si>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</si>
  <si>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</si>
  <si>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</si>
  <si>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</si>
  <si>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</si>
  <si>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</si>
  <si>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</si>
  <si>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</si>
  <si>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</si>
  <si>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</si>
  <si>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</si>
  <si>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</si>
  <si>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</si>
  <si>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</si>
  <si>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</si>
  <si>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</si>
  <si>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</si>
  <si>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</si>
  <si>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</si>
  <si>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</si>
  <si>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</si>
  <si>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</si>
  <si>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</si>
  <si>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</si>
  <si>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</si>
  <si>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</si>
  <si>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</si>
  <si>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</si>
  <si>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</si>
  <si>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</si>
  <si>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</si>
  <si>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</si>
  <si>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</si>
  <si>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</si>
  <si>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</si>
  <si>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</si>
  <si>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</si>
  <si>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</si>
  <si>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</si>
  <si>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</si>
  <si>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</si>
  <si>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</si>
  <si>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</si>
  <si>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</si>
  <si>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</si>
  <si>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</si>
  <si>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</si>
  <si>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</si>
  <si>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</si>
  <si>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</si>
  <si>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</si>
  <si>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</si>
  <si>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</si>
  <si>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</si>
  <si>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</si>
  <si>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</si>
  <si>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</si>
  <si>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</si>
  <si>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</si>
  <si>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</si>
  <si>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</si>
  <si>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</si>
  <si>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</si>
  <si>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</si>
  <si>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</si>
  <si>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</si>
  <si>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</si>
  <si>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</si>
  <si>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</si>
  <si>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</si>
  <si>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</si>
  <si>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</si>
  <si>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</si>
  <si>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</si>
  <si>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</si>
  <si>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</si>
  <si>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</si>
  <si>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</si>
  <si>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</si>
  <si>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</si>
  <si>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</si>
  <si>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</si>
  <si>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</si>
  <si>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</si>
  <si>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</si>
  <si>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</si>
  <si>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</si>
  <si>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</si>
  <si>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</si>
  <si>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</si>
  <si>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</si>
  <si>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</si>
  <si>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</si>
  <si>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</si>
  <si>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</si>
  <si>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</si>
  <si>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</si>
  <si>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</si>
  <si>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</si>
  <si>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</si>
  <si>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</si>
  <si>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</si>
  <si>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</si>
  <si>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</si>
  <si>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</si>
  <si>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</si>
  <si>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</si>
  <si>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</si>
  <si>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</si>
  <si>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</si>
  <si>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</si>
  <si>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</si>
  <si>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</si>
  <si>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</si>
  <si>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</si>
  <si>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</si>
  <si>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</si>
  <si>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</si>
  <si>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</si>
  <si>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</si>
  <si>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</si>
  <si>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</si>
  <si>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</si>
  <si>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</si>
  <si>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</si>
  <si>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</si>
  <si>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</si>
  <si>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</si>
  <si>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</si>
  <si>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</si>
  <si>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</si>
  <si>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</si>
  <si>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</si>
  <si>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</si>
  <si>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</si>
  <si>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</si>
  <si>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</si>
  <si>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</si>
  <si>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</si>
  <si>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</si>
  <si>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</si>
  <si>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</si>
  <si>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</si>
  <si>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</si>
  <si>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</si>
  <si>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</si>
  <si>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</si>
  <si>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</si>
  <si>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</si>
  <si>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</si>
  <si>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</si>
  <si>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NGO</t>
  </si>
  <si>
    <t>April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</si>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</sst>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Wheat, Maize,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Tractor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0.1777655375318094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0.03255340793489318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20289.47368421053</v>
      </c>
    </row>
    <row r="17" spans="1:7">
      <c r="B17" s="1" t="s">
        <v>11</v>
      </c>
      <c r="C17" s="36">
        <f>SUM(Output!B6:M6)</f>
        <v>890510.9384500704</v>
      </c>
    </row>
    <row r="18" spans="1:7">
      <c r="B18" s="1" t="s">
        <v>12</v>
      </c>
      <c r="C18" s="36">
        <f>MIN(Output!B6:M6)</f>
        <v>-98734.30213611503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416974.1909288933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41040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163077.4868406021</v>
      </c>
      <c r="C6" s="51">
        <f>C30-C88</f>
        <v>-95993.30213611503</v>
      </c>
      <c r="D6" s="51">
        <f>D30-D88</f>
        <v>18465.69786388497</v>
      </c>
      <c r="E6" s="51">
        <f>E30-E88</f>
        <v>-98734.30213611503</v>
      </c>
      <c r="F6" s="51">
        <f>F30-F88</f>
        <v>-8534.302136115031</v>
      </c>
      <c r="G6" s="51">
        <f>G30-G88</f>
        <v>416974.1909288933</v>
      </c>
      <c r="H6" s="51">
        <f>H30-H88</f>
        <v>163077.4868406021</v>
      </c>
      <c r="I6" s="51">
        <f>I30-I88</f>
        <v>-95993.30213611503</v>
      </c>
      <c r="J6" s="51">
        <f>J30-J88</f>
        <v>18465.69786388497</v>
      </c>
      <c r="K6" s="51">
        <f>K30-K88</f>
        <v>1265.697863884969</v>
      </c>
      <c r="L6" s="51">
        <f>L30-L88</f>
        <v>-8534.302136115031</v>
      </c>
      <c r="M6" s="51">
        <f>M30-M88</f>
        <v>416974.1909288933</v>
      </c>
      <c r="N6" s="51">
        <f>N30-N88</f>
        <v>163077.4868406021</v>
      </c>
      <c r="O6" s="51">
        <f>O30-O88</f>
        <v>-95993.30213611503</v>
      </c>
      <c r="P6" s="51">
        <f>P30-P88</f>
        <v>18465.69786388497</v>
      </c>
      <c r="Q6" s="51">
        <f>Q30-Q88</f>
        <v>1265.697863884969</v>
      </c>
      <c r="R6" s="51">
        <f>R30-R88</f>
        <v>-8534.302136115031</v>
      </c>
      <c r="S6" s="51">
        <f>S30-S88</f>
        <v>416974.1909288933</v>
      </c>
      <c r="T6" s="51">
        <f>T30-T88</f>
        <v>163077.4868406021</v>
      </c>
      <c r="U6" s="51">
        <f>U30-U88</f>
        <v>-95993.30213611503</v>
      </c>
      <c r="V6" s="51">
        <f>V30-V88</f>
        <v>18465.69786388497</v>
      </c>
      <c r="W6" s="51">
        <f>W30-W88</f>
        <v>1265.697863884969</v>
      </c>
      <c r="X6" s="51">
        <f>X30-X88</f>
        <v>-8534.302136115031</v>
      </c>
      <c r="Y6" s="51">
        <f>Y30-Y88</f>
        <v>416974.1909288933</v>
      </c>
      <c r="Z6" s="51">
        <f>SUMIF($B$13:$Y$13,"Yes",B6:Y6)</f>
        <v>1881021.876900141</v>
      </c>
      <c r="AA6" s="51">
        <f>AA30-AA88</f>
        <v>890510.9384500701</v>
      </c>
      <c r="AB6" s="51">
        <f>AB30-AB88</f>
        <v>1881021.876900143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3400</v>
      </c>
      <c r="J7" s="80">
        <f>IF(ISERROR(VLOOKUP(MONTH(J5),Inputs!$D$66:$D$71,1,0)),"",INDEX(Inputs!$B$66:$B$71,MATCH(MONTH(Output!J5),Inputs!$D$66:$D$71,0))-INDEX(Inputs!$C$66:$C$71,MATCH(MONTH(Output!J5),Inputs!$D$66:$D$71,0)))</f>
        <v>1000</v>
      </c>
      <c r="K7" s="80">
        <f>IF(ISERROR(VLOOKUP(MONTH(K5),Inputs!$D$66:$D$71,1,0)),"",INDEX(Inputs!$B$66:$B$71,MATCH(MONTH(Output!K5),Inputs!$D$66:$D$71,0))-INDEX(Inputs!$C$66:$C$71,MATCH(MONTH(Output!K5),Inputs!$D$66:$D$71,0)))</f>
        <v>-5476000</v>
      </c>
      <c r="L7" s="80">
        <f>IF(ISERROR(VLOOKUP(MONTH(L5),Inputs!$D$66:$D$71,1,0)),"",INDEX(Inputs!$B$66:$B$71,MATCH(MONTH(Output!L5),Inputs!$D$66:$D$71,0))-INDEX(Inputs!$C$66:$C$71,MATCH(MONTH(Output!L5),Inputs!$D$66:$D$71,0)))</f>
        <v>6000</v>
      </c>
      <c r="M7" s="80">
        <f>IF(ISERROR(VLOOKUP(MONTH(M5),Inputs!$D$66:$D$71,1,0)),"",INDEX(Inputs!$B$66:$B$71,MATCH(MONTH(Output!M5),Inputs!$D$66:$D$71,0))-INDEX(Inputs!$C$66:$C$71,MATCH(MONTH(Output!M5),Inputs!$D$66:$D$71,0)))</f>
        <v>1000</v>
      </c>
      <c r="N7" s="80">
        <f>IF(ISERROR(VLOOKUP(MONTH(N5),Inputs!$D$66:$D$71,1,0)),"",INDEX(Inputs!$B$66:$B$71,MATCH(MONTH(Output!N5),Inputs!$D$66:$D$71,0))-INDEX(Inputs!$C$66:$C$71,MATCH(MONTH(Output!N5),Inputs!$D$66:$D$71,0)))</f>
        <v>2000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3400</v>
      </c>
      <c r="V7" s="80">
        <f>IF(ISERROR(VLOOKUP(MONTH(V5),Inputs!$D$66:$D$71,1,0)),"",INDEX(Inputs!$B$66:$B$71,MATCH(MONTH(Output!V5),Inputs!$D$66:$D$71,0))-INDEX(Inputs!$C$66:$C$71,MATCH(MONTH(Output!V5),Inputs!$D$66:$D$71,0)))</f>
        <v>1000</v>
      </c>
      <c r="W7" s="80">
        <f>IF(ISERROR(VLOOKUP(MONTH(W5),Inputs!$D$66:$D$71,1,0)),"",INDEX(Inputs!$B$66:$B$71,MATCH(MONTH(Output!W5),Inputs!$D$66:$D$71,0))-INDEX(Inputs!$C$66:$C$71,MATCH(MONTH(Output!W5),Inputs!$D$66:$D$71,0)))</f>
        <v>-5476000</v>
      </c>
      <c r="X7" s="80">
        <f>IF(ISERROR(VLOOKUP(MONTH(X5),Inputs!$D$66:$D$71,1,0)),"",INDEX(Inputs!$B$66:$B$71,MATCH(MONTH(Output!X5),Inputs!$D$66:$D$71,0))-INDEX(Inputs!$C$66:$C$71,MATCH(MONTH(Output!X5),Inputs!$D$66:$D$71,0)))</f>
        <v>6000</v>
      </c>
      <c r="Y7" s="80">
        <f>IF(ISERROR(VLOOKUP(MONTH(Y5),Inputs!$D$66:$D$71,1,0)),"",INDEX(Inputs!$B$66:$B$71,MATCH(MONTH(Output!Y5),Inputs!$D$66:$D$71,0))-INDEX(Inputs!$C$66:$C$71,MATCH(MONTH(Output!Y5),Inputs!$D$66:$D$71,0)))</f>
        <v>1000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4500</v>
      </c>
      <c r="D10" s="37">
        <f>SUMPRODUCT((Calculations!$D$33:$D$84=Output!D5)+0,Calculations!$C$33:$C$84)</f>
        <v>4500</v>
      </c>
      <c r="E10" s="37">
        <f>SUMPRODUCT((Calculations!$D$33:$D$84=Output!E5)+0,Calculations!$C$33:$C$84)</f>
        <v>4500</v>
      </c>
      <c r="F10" s="37">
        <f>SUMPRODUCT((Calculations!$D$33:$D$84=Output!F5)+0,Calculations!$C$33:$C$84)</f>
        <v>4500</v>
      </c>
      <c r="G10" s="37">
        <f>SUMPRODUCT((Calculations!$D$33:$D$84=Output!G5)+0,Calculations!$C$33:$C$84)</f>
        <v>4500</v>
      </c>
      <c r="H10" s="37">
        <f>SUMPRODUCT((Calculations!$D$33:$D$84=Output!H5)+0,Calculations!$C$33:$C$84)</f>
        <v>20289.47368421053</v>
      </c>
      <c r="I10" s="37">
        <f>SUMPRODUCT((Calculations!$D$33:$D$84=Output!I5)+0,Calculations!$C$33:$C$84)</f>
        <v>20289.47368421053</v>
      </c>
      <c r="J10" s="37">
        <f>SUMPRODUCT((Calculations!$D$33:$D$84=Output!J5)+0,Calculations!$C$33:$C$84)</f>
        <v>20289.47368421053</v>
      </c>
      <c r="K10" s="37">
        <f>SUMPRODUCT((Calculations!$D$33:$D$84=Output!K5)+0,Calculations!$C$33:$C$84)</f>
        <v>20289.47368421053</v>
      </c>
      <c r="L10" s="37">
        <f>SUMPRODUCT((Calculations!$D$33:$D$84=Output!L5)+0,Calculations!$C$33:$C$84)</f>
        <v>20289.47368421053</v>
      </c>
      <c r="M10" s="37">
        <f>SUMPRODUCT((Calculations!$D$33:$D$84=Output!M5)+0,Calculations!$C$33:$C$84)</f>
        <v>20289.47368421053</v>
      </c>
      <c r="N10" s="37">
        <f>SUMPRODUCT((Calculations!$D$33:$D$84=Output!N5)+0,Calculations!$C$33:$C$84)</f>
        <v>20289.47368421053</v>
      </c>
      <c r="O10" s="37">
        <f>SUMPRODUCT((Calculations!$D$33:$D$84=Output!O5)+0,Calculations!$C$33:$C$84)</f>
        <v>20289.47368421053</v>
      </c>
      <c r="P10" s="37">
        <f>SUMPRODUCT((Calculations!$D$33:$D$84=Output!P5)+0,Calculations!$C$33:$C$84)</f>
        <v>20289.47368421053</v>
      </c>
      <c r="Q10" s="37">
        <f>SUMPRODUCT((Calculations!$D$33:$D$84=Output!Q5)+0,Calculations!$C$33:$C$84)</f>
        <v>20289.47368421053</v>
      </c>
      <c r="R10" s="37">
        <f>SUMPRODUCT((Calculations!$D$33:$D$84=Output!R5)+0,Calculations!$C$33:$C$84)</f>
        <v>20289.47368421053</v>
      </c>
      <c r="S10" s="37">
        <f>SUMPRODUCT((Calculations!$D$33:$D$84=Output!S5)+0,Calculations!$C$33:$C$84)</f>
        <v>20289.47368421053</v>
      </c>
      <c r="T10" s="37">
        <f>SUMPRODUCT((Calculations!$D$33:$D$84=Output!T5)+0,Calculations!$C$33:$C$84)</f>
        <v>20289.47368421053</v>
      </c>
      <c r="U10" s="37">
        <f>SUMPRODUCT((Calculations!$D$33:$D$84=Output!U5)+0,Calculations!$C$33:$C$84)</f>
        <v>20289.47368421053</v>
      </c>
      <c r="V10" s="37">
        <f>SUMPRODUCT((Calculations!$D$33:$D$84=Output!V5)+0,Calculations!$C$33:$C$84)</f>
        <v>20289.47368421053</v>
      </c>
      <c r="W10" s="37">
        <f>SUMPRODUCT((Calculations!$D$33:$D$84=Output!W5)+0,Calculations!$C$33:$C$84)</f>
        <v>20289.47368421053</v>
      </c>
      <c r="X10" s="37">
        <f>SUMPRODUCT((Calculations!$D$33:$D$84=Output!X5)+0,Calculations!$C$33:$C$84)</f>
        <v>20289.47368421053</v>
      </c>
      <c r="Y10" s="37">
        <f>SUMPRODUCT((Calculations!$D$33:$D$84=Output!Y5)+0,Calculations!$C$33:$C$84)</f>
        <v>20289.47368421053</v>
      </c>
      <c r="Z10" s="37">
        <f>SUMIF($B$13:$Y$13,"Yes",B10:Y10)</f>
        <v>387710.5263157894</v>
      </c>
      <c r="AA10" s="37">
        <f>SUM(B10:M10)</f>
        <v>144236.8421052632</v>
      </c>
      <c r="AB10" s="37">
        <f>SUM(B10:Y10)</f>
        <v>387710.5263157894</v>
      </c>
    </row>
    <row r="11" spans="1:30" customHeight="1" ht="15.75">
      <c r="A11" s="43" t="s">
        <v>31</v>
      </c>
      <c r="B11" s="80">
        <f>B6+B9-B10</f>
        <v>463077.4868406021</v>
      </c>
      <c r="C11" s="80">
        <f>C6+C9-C10</f>
        <v>-100493.302136115</v>
      </c>
      <c r="D11" s="80">
        <f>D6+D9-D10</f>
        <v>13965.69786388497</v>
      </c>
      <c r="E11" s="80">
        <f>E6+E9-E10</f>
        <v>-103234.302136115</v>
      </c>
      <c r="F11" s="80">
        <f>F6+F9-F10</f>
        <v>-13034.30213611503</v>
      </c>
      <c r="G11" s="80">
        <f>G6+G9-G10</f>
        <v>412474.1909288933</v>
      </c>
      <c r="H11" s="80">
        <f>H6+H9-H10</f>
        <v>142788.0131563915</v>
      </c>
      <c r="I11" s="80">
        <f>I6+I9-I10</f>
        <v>-116282.7758203256</v>
      </c>
      <c r="J11" s="80">
        <f>J6+J9-J10</f>
        <v>-1823.775820325558</v>
      </c>
      <c r="K11" s="80">
        <f>K6+K9-K10</f>
        <v>-19023.77582032556</v>
      </c>
      <c r="L11" s="80">
        <f>L6+L9-L10</f>
        <v>-28823.77582032556</v>
      </c>
      <c r="M11" s="80">
        <f>M6+M9-M10</f>
        <v>396684.7172446828</v>
      </c>
      <c r="N11" s="80">
        <f>N6+N9-N10</f>
        <v>142788.0131563915</v>
      </c>
      <c r="O11" s="80">
        <f>O6+O9-O10</f>
        <v>-116282.7758203256</v>
      </c>
      <c r="P11" s="80">
        <f>P6+P9-P10</f>
        <v>-1823.775820325558</v>
      </c>
      <c r="Q11" s="80">
        <f>Q6+Q9-Q10</f>
        <v>-19023.77582032556</v>
      </c>
      <c r="R11" s="80">
        <f>R6+R9-R10</f>
        <v>-28823.77582032556</v>
      </c>
      <c r="S11" s="80">
        <f>S6+S9-S10</f>
        <v>396684.7172446828</v>
      </c>
      <c r="T11" s="80">
        <f>T6+T9-T10</f>
        <v>142788.0131563915</v>
      </c>
      <c r="U11" s="80">
        <f>U6+U9-U10</f>
        <v>-116282.7758203256</v>
      </c>
      <c r="V11" s="80">
        <f>V6+V9-V10</f>
        <v>-1823.775820325558</v>
      </c>
      <c r="W11" s="80">
        <f>W6+W9-W10</f>
        <v>-19023.77582032556</v>
      </c>
      <c r="X11" s="80">
        <f>X6+X9-X10</f>
        <v>-28823.77582032556</v>
      </c>
      <c r="Y11" s="80">
        <f>Y6+Y9-Y10</f>
        <v>396684.7172446828</v>
      </c>
      <c r="Z11" s="85">
        <f>SUMIF($B$13:$Y$13,"Yes",B11:Y11)</f>
        <v>1793311.350584351</v>
      </c>
      <c r="AA11" s="80">
        <f>SUM(B11:M11)</f>
        <v>1046274.096344807</v>
      </c>
      <c r="AB11" s="46">
        <f>SUM(B11:Y11)</f>
        <v>1793311.350584351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0.01225876839020625</v>
      </c>
      <c r="D12" s="82">
        <f>IF(D13="Yes",IF(SUM($B$10:D10)/(SUM($B$6:D6)+SUM($B$9:D9))&lt;0,999.99,SUM($B$10:D10)/(SUM($B$6:D6)+SUM($B$9:D9))),"")</f>
        <v>0.02334328294965561</v>
      </c>
      <c r="E12" s="82">
        <f>IF(E13="Yes",IF(SUM($B$10:E10)/(SUM($B$6:E6)+SUM($B$9:E9))&lt;0,999.99,SUM($B$10:E10)/(SUM($B$6:E6)+SUM($B$9:E9))),"")</f>
        <v>0.04706857270324814</v>
      </c>
      <c r="F12" s="82">
        <f>IF(F13="Yes",IF(SUM($B$10:F10)/(SUM($B$6:F6)+SUM($B$9:F9))&lt;0,999.99,SUM($B$10:F10)/(SUM($B$6:F6)+SUM($B$9:F9))),"")</f>
        <v>0.0646827559159216</v>
      </c>
      <c r="G12" s="82">
        <f>IF(G13="Yes",IF(SUM($B$10:G10)/(SUM($B$6:G6)+SUM($B$9:G9))&lt;0,999.99,SUM($B$10:G10)/(SUM($B$6:G6)+SUM($B$9:G9))),"")</f>
        <v>0.03236220496773591</v>
      </c>
      <c r="H12" s="82">
        <f>IF(H13="Yes",IF(SUM($B$10:H10)/(SUM($B$6:H6)+SUM($B$9:H9))&lt;0,999.99,SUM($B$10:H10)/(SUM($B$6:H6)+SUM($B$9:H9))),"")</f>
        <v>0.04985183591265763</v>
      </c>
      <c r="I12" s="82">
        <f>IF(I13="Yes",IF(SUM($B$10:I10)/(SUM($B$6:I6)+SUM($B$9:I9))&lt;0,999.99,SUM($B$10:I10)/(SUM($B$6:I6)+SUM($B$9:I9))),"")</f>
        <v>0.08274388855843599</v>
      </c>
      <c r="J12" s="82">
        <f>IF(J13="Yes",IF(SUM($B$10:J10)/(SUM($B$6:J6)+SUM($B$9:J9))&lt;0,999.99,SUM($B$10:J10)/(SUM($B$6:J6)+SUM($B$9:J9))),"")</f>
        <v>0.1067723483979013</v>
      </c>
      <c r="K12" s="82">
        <f>IF(K13="Yes",IF(SUM($B$10:K10)/(SUM($B$6:K6)+SUM($B$9:K9))&lt;0,999.99,SUM($B$10:K10)/(SUM($B$6:K6)+SUM($B$9:K9))),"")</f>
        <v>0.1325428102501244</v>
      </c>
      <c r="L12" s="82">
        <f>IF(L13="Yes",IF(SUM($B$10:L10)/(SUM($B$6:L6)+SUM($B$9:L9))&lt;0,999.99,SUM($B$10:L10)/(SUM($B$6:L6)+SUM($B$9:L9))),"")</f>
        <v>0.1602346221019827</v>
      </c>
      <c r="M12" s="82">
        <f>IF(M13="Yes",IF(SUM($B$10:M10)/(SUM($B$6:M6)+SUM($B$9:M9))&lt;0,999.99,SUM($B$10:M10)/(SUM($B$6:M6)+SUM($B$9:M9))),"")</f>
        <v>0.1211554110481719</v>
      </c>
      <c r="N12" s="82">
        <f>IF(N13="Yes",IF(SUM($B$10:N10)/(SUM($B$6:N6)+SUM($B$9:N9))&lt;0,999.99,SUM($B$10:N10)/(SUM($B$6:N6)+SUM($B$9:N9))),"")</f>
        <v>0.1215482584775671</v>
      </c>
      <c r="O12" s="82">
        <f>IF(O13="Yes",IF(SUM($B$10:O10)/(SUM($B$6:O6)+SUM($B$9:O9))&lt;0,999.99,SUM($B$10:O10)/(SUM($B$6:O6)+SUM($B$9:O9))),"")</f>
        <v>0.146959690023361</v>
      </c>
      <c r="P12" s="82">
        <f>IF(P13="Yes",IF(SUM($B$10:P10)/(SUM($B$6:P6)+SUM($B$9:P9))&lt;0,999.99,SUM($B$10:P10)/(SUM($B$6:P6)+SUM($B$9:P9))),"")</f>
        <v>0.1607331404424731</v>
      </c>
      <c r="Q12" s="82">
        <f>IF(Q13="Yes",IF(SUM($B$10:Q10)/(SUM($B$6:Q6)+SUM($B$9:Q9))&lt;0,999.99,SUM($B$10:Q10)/(SUM($B$6:Q6)+SUM($B$9:Q9))),"")</f>
        <v>0.1764581988318287</v>
      </c>
      <c r="R12" s="82">
        <f>IF(R13="Yes",IF(SUM($B$10:R10)/(SUM($B$6:R6)+SUM($B$9:R9))&lt;0,999.99,SUM($B$10:R10)/(SUM($B$6:R6)+SUM($B$9:R9))),"")</f>
        <v>0.1936362843999526</v>
      </c>
      <c r="S12" s="82">
        <f>IF(S13="Yes",IF(SUM($B$10:S10)/(SUM($B$6:S6)+SUM($B$9:S9))&lt;0,999.99,SUM($B$10:S10)/(SUM($B$6:S6)+SUM($B$9:S9))),"")</f>
        <v>0.1577761207006961</v>
      </c>
      <c r="T12" s="82">
        <f>IF(T13="Yes",IF(SUM($B$10:T10)/(SUM($B$6:T6)+SUM($B$9:T9))&lt;0,999.99,SUM($B$10:T10)/(SUM($B$6:T6)+SUM($B$9:T9))),"")</f>
        <v>0.1548336010108206</v>
      </c>
      <c r="U12" s="82">
        <f>IF(U13="Yes",IF(SUM($B$10:U10)/(SUM($B$6:U6)+SUM($B$9:U9))&lt;0,999.99,SUM($B$10:U10)/(SUM($B$6:U6)+SUM($B$9:U9))),"")</f>
        <v>0.1748880554404726</v>
      </c>
      <c r="V12" s="82">
        <f>IF(V13="Yes",IF(SUM($B$10:V10)/(SUM($B$6:V6)+SUM($B$9:V9))&lt;0,999.99,SUM($B$10:V10)/(SUM($B$6:V6)+SUM($B$9:V9))),"")</f>
        <v>0.1845193357411236</v>
      </c>
      <c r="W12" s="82">
        <f>IF(W13="Yes",IF(SUM($B$10:W10)/(SUM($B$6:W6)+SUM($B$9:W9))&lt;0,999.99,SUM($B$10:W10)/(SUM($B$6:W6)+SUM($B$9:W9))),"")</f>
        <v>0.195833863413004</v>
      </c>
      <c r="X12" s="82">
        <f>IF(X13="Yes",IF(SUM($B$10:X10)/(SUM($B$6:X6)+SUM($B$9:X9))&lt;0,999.99,SUM($B$10:X10)/(SUM($B$6:X6)+SUM($B$9:X9))),"")</f>
        <v>0.208282948104821</v>
      </c>
      <c r="Y12" s="82">
        <f>IF(Y13="Yes",IF(SUM($B$10:Y10)/(SUM($B$6:Y6)+SUM($B$9:Y9))&lt;0,999.99,SUM($B$10:Y10)/(SUM($B$6:Y6)+SUM($B$9:Y9))),"")</f>
        <v>0.1777655375318094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364229.1070483912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364229.1070483912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364229.1070483912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364229.1070483912</v>
      </c>
      <c r="Z18" s="36">
        <f>SUMIF($B$13:$Y$13,"Yes",B18:Y18)</f>
        <v>1456916.428193565</v>
      </c>
      <c r="AA18" s="36">
        <f>SUM(B18:M18)</f>
        <v>728458.2140967825</v>
      </c>
      <c r="AB18" s="36">
        <f>SUM(B18:Y18)</f>
        <v>1456916.428193565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131003.7889767171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131003.7889767171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131003.7889767171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131003.7889767171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524015.1559068683</v>
      </c>
      <c r="AA19" s="36">
        <f>SUM(B19:M19)</f>
        <v>262007.5779534342</v>
      </c>
      <c r="AB19" s="36">
        <f>SUM(B19:Y19)</f>
        <v>524015.1559068683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34279.38601661709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34279.38601661709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34279.38601661709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34279.38601661709</v>
      </c>
      <c r="Z20" s="36">
        <f>SUMIF($B$13:$Y$13,"Yes",B20:Y20)</f>
        <v>137117.5440664683</v>
      </c>
      <c r="AA20" s="36">
        <f>SUM(B20:M20)</f>
        <v>68558.77203323417</v>
      </c>
      <c r="AB20" s="36">
        <f>SUM(B20:Y20)</f>
        <v>137117.5440664683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61593.75</v>
      </c>
      <c r="C24" s="36">
        <f>IFERROR(Calculations!$P14/12,"")</f>
        <v>61593.75</v>
      </c>
      <c r="D24" s="36">
        <f>IFERROR(Calculations!$P14/12,"")</f>
        <v>61593.75</v>
      </c>
      <c r="E24" s="36">
        <f>IFERROR(Calculations!$P14/12,"")</f>
        <v>61593.75</v>
      </c>
      <c r="F24" s="36">
        <f>IFERROR(Calculations!$P14/12,"")</f>
        <v>61593.75</v>
      </c>
      <c r="G24" s="36">
        <f>IFERROR(Calculations!$P14/12,"")</f>
        <v>61593.75</v>
      </c>
      <c r="H24" s="36">
        <f>IFERROR(Calculations!$P14/12,"")</f>
        <v>61593.75</v>
      </c>
      <c r="I24" s="36">
        <f>IFERROR(Calculations!$P14/12,"")</f>
        <v>61593.75</v>
      </c>
      <c r="J24" s="36">
        <f>IFERROR(Calculations!$P14/12,"")</f>
        <v>61593.75</v>
      </c>
      <c r="K24" s="36">
        <f>IFERROR(Calculations!$P14/12,"")</f>
        <v>61593.75</v>
      </c>
      <c r="L24" s="36">
        <f>IFERROR(Calculations!$P14/12,"")</f>
        <v>61593.75</v>
      </c>
      <c r="M24" s="36">
        <f>IFERROR(Calculations!$P14/12,"")</f>
        <v>61593.75</v>
      </c>
      <c r="N24" s="36">
        <f>IFERROR(Calculations!$P14/12,"")</f>
        <v>61593.75</v>
      </c>
      <c r="O24" s="36">
        <f>IFERROR(Calculations!$P14/12,"")</f>
        <v>61593.75</v>
      </c>
      <c r="P24" s="36">
        <f>IFERROR(Calculations!$P14/12,"")</f>
        <v>61593.75</v>
      </c>
      <c r="Q24" s="36">
        <f>IFERROR(Calculations!$P14/12,"")</f>
        <v>61593.75</v>
      </c>
      <c r="R24" s="36">
        <f>IFERROR(Calculations!$P14/12,"")</f>
        <v>61593.75</v>
      </c>
      <c r="S24" s="36">
        <f>IFERROR(Calculations!$P14/12,"")</f>
        <v>61593.75</v>
      </c>
      <c r="T24" s="36">
        <f>IFERROR(Calculations!$P14/12,"")</f>
        <v>61593.75</v>
      </c>
      <c r="U24" s="36">
        <f>IFERROR(Calculations!$P14/12,"")</f>
        <v>61593.75</v>
      </c>
      <c r="V24" s="36">
        <f>IFERROR(Calculations!$P14/12,"")</f>
        <v>61593.75</v>
      </c>
      <c r="W24" s="36">
        <f>IFERROR(Calculations!$P14/12,"")</f>
        <v>61593.75</v>
      </c>
      <c r="X24" s="36">
        <f>IFERROR(Calculations!$P14/12,"")</f>
        <v>61593.75</v>
      </c>
      <c r="Y24" s="36">
        <f>IFERROR(Calculations!$P14/12,"")</f>
        <v>61593.75</v>
      </c>
      <c r="Z24" s="36">
        <f>SUMIF($B$13:$Y$13,"Yes",B24:Y24)</f>
        <v>1478250</v>
      </c>
      <c r="AA24" s="36">
        <f>SUM(B24:M24)</f>
        <v>739125</v>
      </c>
      <c r="AB24" s="46">
        <f>SUM(B24:Y24)</f>
        <v>1478250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1440000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252597.5389767171</v>
      </c>
      <c r="C30" s="19">
        <f>SUM(C18:C29)</f>
        <v>121593.75</v>
      </c>
      <c r="D30" s="19">
        <f>SUM(D18:D29)</f>
        <v>121593.75</v>
      </c>
      <c r="E30" s="19">
        <f>SUM(E18:E29)</f>
        <v>121593.75</v>
      </c>
      <c r="F30" s="19">
        <f>SUM(F18:F29)</f>
        <v>121593.75</v>
      </c>
      <c r="G30" s="19">
        <f>SUM(G18:G29)</f>
        <v>520102.2430650083</v>
      </c>
      <c r="H30" s="19">
        <f>SUM(H18:H29)</f>
        <v>252597.5389767171</v>
      </c>
      <c r="I30" s="19">
        <f>SUM(I18:I29)</f>
        <v>121593.75</v>
      </c>
      <c r="J30" s="19">
        <f>SUM(J18:J29)</f>
        <v>121593.75</v>
      </c>
      <c r="K30" s="19">
        <f>SUM(K18:K29)</f>
        <v>121593.75</v>
      </c>
      <c r="L30" s="19">
        <f>SUM(L18:L29)</f>
        <v>121593.75</v>
      </c>
      <c r="M30" s="19">
        <f>SUM(M18:M29)</f>
        <v>520102.2430650083</v>
      </c>
      <c r="N30" s="19">
        <f>SUM(N18:N29)</f>
        <v>252597.5389767171</v>
      </c>
      <c r="O30" s="19">
        <f>SUM(O18:O29)</f>
        <v>121593.75</v>
      </c>
      <c r="P30" s="19">
        <f>SUM(P18:P29)</f>
        <v>121593.75</v>
      </c>
      <c r="Q30" s="19">
        <f>SUM(Q18:Q29)</f>
        <v>121593.75</v>
      </c>
      <c r="R30" s="19">
        <f>SUM(R18:R29)</f>
        <v>121593.75</v>
      </c>
      <c r="S30" s="19">
        <f>SUM(S18:S29)</f>
        <v>520102.2430650083</v>
      </c>
      <c r="T30" s="19">
        <f>SUM(T18:T29)</f>
        <v>252597.5389767171</v>
      </c>
      <c r="U30" s="19">
        <f>SUM(U18:U29)</f>
        <v>121593.75</v>
      </c>
      <c r="V30" s="19">
        <f>SUM(V18:V29)</f>
        <v>121593.75</v>
      </c>
      <c r="W30" s="19">
        <f>SUM(W18:W29)</f>
        <v>121593.75</v>
      </c>
      <c r="X30" s="19">
        <f>SUM(X18:X29)</f>
        <v>121593.75</v>
      </c>
      <c r="Y30" s="19">
        <f>SUM(Y18:Y29)</f>
        <v>520102.2430650083</v>
      </c>
      <c r="Z30" s="19">
        <f>SUMIF($B$13:$Y$13,"Yes",B30:Y30)</f>
        <v>5036299.128166902</v>
      </c>
      <c r="AA30" s="19">
        <f>SUM(B30:M30)</f>
        <v>2518149.56408345</v>
      </c>
      <c r="AB30" s="19">
        <f>SUM(B30:Y30)</f>
        <v>5036299.128166902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6000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6000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6000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6000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24000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6000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6000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6000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6000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24000</v>
      </c>
      <c r="AA39" s="36">
        <f>SUM(B39:M39)</f>
        <v>12000</v>
      </c>
      <c r="AB39" s="36">
        <f>SUM(B39:Y39)</f>
        <v>24000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108459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108459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108459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108459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433836</v>
      </c>
      <c r="AA42" s="36">
        <f>SUM(B42:M42)</f>
        <v>216918</v>
      </c>
      <c r="AB42" s="36">
        <f>SUM(B42:Y42)</f>
        <v>433836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96000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96000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96000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96000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384000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 t="str">
        <f>Calculations!$A$5</f>
        <v>Wheat</v>
      </c>
      <c r="B44" s="36">
        <f>N44</f>
        <v>0</v>
      </c>
      <c r="C44" s="36">
        <f>O44</f>
        <v>11550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11550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11550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11550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46200</v>
      </c>
      <c r="AA44" s="36">
        <f>SUM(B44:M44)</f>
        <v>23100</v>
      </c>
      <c r="AB44" s="36">
        <f>SUM(B44:Y44)</f>
        <v>46200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909.0000000000002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909.0000000000002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909.0000000000002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909.0000000000002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3636.000000000001</v>
      </c>
      <c r="AA45" s="36">
        <f>SUM(B45:M45)</f>
        <v>1818</v>
      </c>
      <c r="AB45" s="36">
        <f>SUM(B45:Y45)</f>
        <v>3636.000000000001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17200</v>
      </c>
      <c r="F48" s="36">
        <f>R48</f>
        <v>27000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17200</v>
      </c>
      <c r="L48" s="36">
        <f>X48</f>
        <v>27000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17200</v>
      </c>
      <c r="R48" s="46">
        <f>SUM(R49:R53)</f>
        <v>27000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17200</v>
      </c>
      <c r="X48" s="46">
        <f>SUM(X49:X53)</f>
        <v>27000</v>
      </c>
      <c r="Y48" s="46">
        <f>SUM(Y49:Y53)</f>
        <v>0</v>
      </c>
      <c r="Z48" s="46">
        <f>SUMIF($B$13:$Y$13,"Yes",B48:Y48)</f>
        <v>176800</v>
      </c>
      <c r="AA48" s="46">
        <f>SUM(B48:M48)</f>
        <v>88400</v>
      </c>
      <c r="AB48" s="46">
        <f>SUM(B48:Y48)</f>
        <v>176800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17200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17200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17200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17200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68800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27000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27000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27000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27000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108000</v>
      </c>
      <c r="AA50" s="46">
        <f>SUM(B50:M50)</f>
        <v>54000</v>
      </c>
      <c r="AB50" s="46">
        <f>SUM(B50:Y50)</f>
        <v>108000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6075</v>
      </c>
      <c r="C66" s="36">
        <f>O66</f>
        <v>19683</v>
      </c>
      <c r="D66" s="36">
        <f>P66</f>
        <v>19683</v>
      </c>
      <c r="E66" s="36">
        <f>Q66</f>
        <v>19683</v>
      </c>
      <c r="F66" s="36">
        <f>R66</f>
        <v>19683</v>
      </c>
      <c r="G66" s="36">
        <f>S66</f>
        <v>19683</v>
      </c>
      <c r="H66" s="36">
        <f>T66</f>
        <v>6075</v>
      </c>
      <c r="I66" s="36">
        <f>U66</f>
        <v>19683</v>
      </c>
      <c r="J66" s="36">
        <f>V66</f>
        <v>19683</v>
      </c>
      <c r="K66" s="36">
        <f>W66</f>
        <v>19683</v>
      </c>
      <c r="L66" s="36">
        <f>X66</f>
        <v>19683</v>
      </c>
      <c r="M66" s="36">
        <f>Y66</f>
        <v>19683</v>
      </c>
      <c r="N66" s="46">
        <f>SUM(N67:N71)</f>
        <v>6075</v>
      </c>
      <c r="O66" s="46">
        <f>SUM(O67:O71)</f>
        <v>19683</v>
      </c>
      <c r="P66" s="46">
        <f>SUM(P67:P71)</f>
        <v>19683</v>
      </c>
      <c r="Q66" s="46">
        <f>SUM(Q67:Q71)</f>
        <v>19683</v>
      </c>
      <c r="R66" s="46">
        <f>SUM(R67:R71)</f>
        <v>19683</v>
      </c>
      <c r="S66" s="46">
        <f>SUM(S67:S71)</f>
        <v>19683</v>
      </c>
      <c r="T66" s="46">
        <f>SUM(T67:T71)</f>
        <v>6075</v>
      </c>
      <c r="U66" s="46">
        <f>SUM(U67:U71)</f>
        <v>19683</v>
      </c>
      <c r="V66" s="46">
        <f>SUM(V67:V71)</f>
        <v>19683</v>
      </c>
      <c r="W66" s="46">
        <f>SUM(W67:W71)</f>
        <v>19683</v>
      </c>
      <c r="X66" s="46">
        <f>SUM(X67:X71)</f>
        <v>19683</v>
      </c>
      <c r="Y66" s="46">
        <f>SUM(Y67:Y71)</f>
        <v>19683</v>
      </c>
      <c r="Z66" s="46">
        <f>SUMIF($B$13:$Y$13,"Yes",B66:Y66)</f>
        <v>417960</v>
      </c>
      <c r="AA66" s="46">
        <f>SUM(B66:M66)</f>
        <v>208980</v>
      </c>
      <c r="AB66" s="46">
        <f>SUM(B66:Y66)</f>
        <v>417960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7776</v>
      </c>
      <c r="D67" s="36">
        <f>P67</f>
        <v>7776</v>
      </c>
      <c r="E67" s="36">
        <f>Q67</f>
        <v>7776</v>
      </c>
      <c r="F67" s="36">
        <f>R67</f>
        <v>7776</v>
      </c>
      <c r="G67" s="36">
        <f>S67</f>
        <v>7776</v>
      </c>
      <c r="H67" s="36">
        <f>T67</f>
        <v>0</v>
      </c>
      <c r="I67" s="36">
        <f>U67</f>
        <v>7776</v>
      </c>
      <c r="J67" s="36">
        <f>V67</f>
        <v>7776</v>
      </c>
      <c r="K67" s="36">
        <f>W67</f>
        <v>7776</v>
      </c>
      <c r="L67" s="36">
        <f>X67</f>
        <v>7776</v>
      </c>
      <c r="M67" s="36">
        <f>Y67</f>
        <v>7776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7776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7776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7776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7776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7776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7776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7776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7776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7776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7776</v>
      </c>
      <c r="Z67" s="46">
        <f>SUMIF($B$13:$Y$13,"Yes",B67:Y67)</f>
        <v>155520</v>
      </c>
      <c r="AA67" s="46">
        <f>SUM(B67:M67)</f>
        <v>77760</v>
      </c>
      <c r="AB67" s="46">
        <f>SUM(B67:Y67)</f>
        <v>155520</v>
      </c>
    </row>
    <row r="68" spans="1:30" hidden="true" outlineLevel="1">
      <c r="A68" s="181" t="str">
        <f>Calculations!$A$5</f>
        <v>Wheat</v>
      </c>
      <c r="B68" s="36">
        <f>N68</f>
        <v>6075</v>
      </c>
      <c r="C68" s="36">
        <f>O68</f>
        <v>6075</v>
      </c>
      <c r="D68" s="36">
        <f>P68</f>
        <v>6075</v>
      </c>
      <c r="E68" s="36">
        <f>Q68</f>
        <v>6075</v>
      </c>
      <c r="F68" s="36">
        <f>R68</f>
        <v>6075</v>
      </c>
      <c r="G68" s="36">
        <f>S68</f>
        <v>6075</v>
      </c>
      <c r="H68" s="36">
        <f>T68</f>
        <v>6075</v>
      </c>
      <c r="I68" s="36">
        <f>U68</f>
        <v>6075</v>
      </c>
      <c r="J68" s="36">
        <f>V68</f>
        <v>6075</v>
      </c>
      <c r="K68" s="36">
        <f>W68</f>
        <v>6075</v>
      </c>
      <c r="L68" s="36">
        <f>X68</f>
        <v>6075</v>
      </c>
      <c r="M68" s="36">
        <f>Y68</f>
        <v>6075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6075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6075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6075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6075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6075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6075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6075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6075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6075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6075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6075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6075</v>
      </c>
      <c r="Z68" s="46">
        <f>SUMIF($B$13:$Y$13,"Yes",B68:Y68)</f>
        <v>145800</v>
      </c>
      <c r="AA68" s="46">
        <f>SUM(B68:M68)</f>
        <v>72900</v>
      </c>
      <c r="AB68" s="46">
        <f>SUM(B68:Y68)</f>
        <v>145800</v>
      </c>
    </row>
    <row r="69" spans="1:30" hidden="true" outlineLevel="1">
      <c r="A69" s="181" t="str">
        <f>Calculations!$A$6</f>
        <v>Maize</v>
      </c>
      <c r="B69" s="36">
        <f>N69</f>
        <v>0</v>
      </c>
      <c r="C69" s="36">
        <f>O69</f>
        <v>5832</v>
      </c>
      <c r="D69" s="36">
        <f>P69</f>
        <v>5832</v>
      </c>
      <c r="E69" s="36">
        <f>Q69</f>
        <v>5832</v>
      </c>
      <c r="F69" s="36">
        <f>R69</f>
        <v>5832</v>
      </c>
      <c r="G69" s="36">
        <f>S69</f>
        <v>5832</v>
      </c>
      <c r="H69" s="36">
        <f>T69</f>
        <v>0</v>
      </c>
      <c r="I69" s="36">
        <f>U69</f>
        <v>5832</v>
      </c>
      <c r="J69" s="36">
        <f>V69</f>
        <v>5832</v>
      </c>
      <c r="K69" s="36">
        <f>W69</f>
        <v>5832</v>
      </c>
      <c r="L69" s="36">
        <f>X69</f>
        <v>5832</v>
      </c>
      <c r="M69" s="36">
        <f>Y69</f>
        <v>5832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5832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5832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5832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5832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5832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5832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5832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5832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5832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5832</v>
      </c>
      <c r="Z69" s="46">
        <f>SUMIF($B$13:$Y$13,"Yes",B69:Y69)</f>
        <v>116640</v>
      </c>
      <c r="AA69" s="46">
        <f>SUM(B69:M69)</f>
        <v>58320</v>
      </c>
      <c r="AB69" s="46">
        <f>SUM(B69:Y69)</f>
        <v>116640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146000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7999.999999999997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48000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480000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100000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100000</v>
      </c>
      <c r="AA80" s="46">
        <f>SUM(B80:M80)</f>
        <v>100000</v>
      </c>
      <c r="AB80" s="46">
        <f>SUM(B80:Y80)</f>
        <v>100000</v>
      </c>
    </row>
    <row r="81" spans="1:30">
      <c r="A81" s="43" t="s">
        <v>51</v>
      </c>
      <c r="B81" s="46">
        <f>(SUM($AA$18:$AA$29)-SUM($AA$36,$AA$42,$AA$48,$AA$54,$AA$60,$AA$66,$AA$72:$AA$79))*Parameters!$B$37/12</f>
        <v>55028.38546944837</v>
      </c>
      <c r="C81" s="46">
        <f>(SUM($AA$18:$AA$29)-SUM($AA$36,$AA$42,$AA$48,$AA$54,$AA$60,$AA$66,$AA$72:$AA$79))*Parameters!$B$37/12</f>
        <v>55028.38546944837</v>
      </c>
      <c r="D81" s="46">
        <f>(SUM($AA$18:$AA$29)-SUM($AA$36,$AA$42,$AA$48,$AA$54,$AA$60,$AA$66,$AA$72:$AA$79))*Parameters!$B$37/12</f>
        <v>55028.38546944837</v>
      </c>
      <c r="E81" s="46">
        <f>(SUM($AA$18:$AA$29)-SUM($AA$36,$AA$42,$AA$48,$AA$54,$AA$60,$AA$66,$AA$72:$AA$79))*Parameters!$B$37/12</f>
        <v>55028.38546944837</v>
      </c>
      <c r="F81" s="46">
        <f>(SUM($AA$18:$AA$29)-SUM($AA$36,$AA$42,$AA$48,$AA$54,$AA$60,$AA$66,$AA$72:$AA$79))*Parameters!$B$37/12</f>
        <v>55028.38546944837</v>
      </c>
      <c r="G81" s="46">
        <f>(SUM($AA$18:$AA$29)-SUM($AA$36,$AA$42,$AA$48,$AA$54,$AA$60,$AA$66,$AA$72:$AA$79))*Parameters!$B$37/12</f>
        <v>55028.38546944837</v>
      </c>
      <c r="H81" s="46">
        <f>(SUM($AA$18:$AA$29)-SUM($AA$36,$AA$42,$AA$48,$AA$54,$AA$60,$AA$66,$AA$72:$AA$79))*Parameters!$B$37/12</f>
        <v>55028.38546944837</v>
      </c>
      <c r="I81" s="46">
        <f>(SUM($AA$18:$AA$29)-SUM($AA$36,$AA$42,$AA$48,$AA$54,$AA$60,$AA$66,$AA$72:$AA$79))*Parameters!$B$37/12</f>
        <v>55028.38546944837</v>
      </c>
      <c r="J81" s="46">
        <f>(SUM($AA$18:$AA$29)-SUM($AA$36,$AA$42,$AA$48,$AA$54,$AA$60,$AA$66,$AA$72:$AA$79))*Parameters!$B$37/12</f>
        <v>55028.38546944837</v>
      </c>
      <c r="K81" s="46">
        <f>(SUM($AA$18:$AA$29)-SUM($AA$36,$AA$42,$AA$48,$AA$54,$AA$60,$AA$66,$AA$72:$AA$79))*Parameters!$B$37/12</f>
        <v>55028.38546944837</v>
      </c>
      <c r="L81" s="46">
        <f>(SUM($AA$18:$AA$29)-SUM($AA$36,$AA$42,$AA$48,$AA$54,$AA$60,$AA$66,$AA$72:$AA$79))*Parameters!$B$37/12</f>
        <v>55028.38546944837</v>
      </c>
      <c r="M81" s="46">
        <f>(SUM($AA$18:$AA$29)-SUM($AA$36,$AA$42,$AA$48,$AA$54,$AA$60,$AA$66,$AA$72:$AA$79))*Parameters!$B$37/12</f>
        <v>55028.38546944837</v>
      </c>
      <c r="N81" s="46">
        <f>(SUM($AA$18:$AA$29)-SUM($AA$36,$AA$42,$AA$48,$AA$54,$AA$60,$AA$66,$AA$72:$AA$79))*Parameters!$B$37/12</f>
        <v>55028.38546944837</v>
      </c>
      <c r="O81" s="46">
        <f>(SUM($AA$18:$AA$29)-SUM($AA$36,$AA$42,$AA$48,$AA$54,$AA$60,$AA$66,$AA$72:$AA$79))*Parameters!$B$37/12</f>
        <v>55028.38546944837</v>
      </c>
      <c r="P81" s="46">
        <f>(SUM($AA$18:$AA$29)-SUM($AA$36,$AA$42,$AA$48,$AA$54,$AA$60,$AA$66,$AA$72:$AA$79))*Parameters!$B$37/12</f>
        <v>55028.38546944837</v>
      </c>
      <c r="Q81" s="46">
        <f>(SUM($AA$18:$AA$29)-SUM($AA$36,$AA$42,$AA$48,$AA$54,$AA$60,$AA$66,$AA$72:$AA$79))*Parameters!$B$37/12</f>
        <v>55028.38546944837</v>
      </c>
      <c r="R81" s="46">
        <f>(SUM($AA$18:$AA$29)-SUM($AA$36,$AA$42,$AA$48,$AA$54,$AA$60,$AA$66,$AA$72:$AA$79))*Parameters!$B$37/12</f>
        <v>55028.38546944837</v>
      </c>
      <c r="S81" s="46">
        <f>(SUM($AA$18:$AA$29)-SUM($AA$36,$AA$42,$AA$48,$AA$54,$AA$60,$AA$66,$AA$72:$AA$79))*Parameters!$B$37/12</f>
        <v>55028.38546944837</v>
      </c>
      <c r="T81" s="46">
        <f>(SUM($AA$18:$AA$29)-SUM($AA$36,$AA$42,$AA$48,$AA$54,$AA$60,$AA$66,$AA$72:$AA$79))*Parameters!$B$37/12</f>
        <v>55028.38546944837</v>
      </c>
      <c r="U81" s="46">
        <f>(SUM($AA$18:$AA$29)-SUM($AA$36,$AA$42,$AA$48,$AA$54,$AA$60,$AA$66,$AA$72:$AA$79))*Parameters!$B$37/12</f>
        <v>55028.38546944837</v>
      </c>
      <c r="V81" s="46">
        <f>(SUM($AA$18:$AA$29)-SUM($AA$36,$AA$42,$AA$48,$AA$54,$AA$60,$AA$66,$AA$72:$AA$79))*Parameters!$B$37/12</f>
        <v>55028.38546944837</v>
      </c>
      <c r="W81" s="46">
        <f>(SUM($AA$18:$AA$29)-SUM($AA$36,$AA$42,$AA$48,$AA$54,$AA$60,$AA$66,$AA$72:$AA$79))*Parameters!$B$37/12</f>
        <v>55028.38546944837</v>
      </c>
      <c r="X81" s="46">
        <f>(SUM($AA$18:$AA$29)-SUM($AA$36,$AA$42,$AA$48,$AA$54,$AA$60,$AA$66,$AA$72:$AA$79))*Parameters!$B$37/12</f>
        <v>55028.38546944837</v>
      </c>
      <c r="Y81" s="46">
        <f>(SUM($AA$18:$AA$29)-SUM($AA$36,$AA$42,$AA$48,$AA$54,$AA$60,$AA$66,$AA$72:$AA$79))*Parameters!$B$37/12</f>
        <v>55028.38546944837</v>
      </c>
      <c r="Z81" s="46">
        <f>SUMIF($B$13:$Y$13,"Yes",B81:Y81)</f>
        <v>1320681.251266761</v>
      </c>
      <c r="AA81" s="46">
        <f>SUM(B81:M81)</f>
        <v>660340.6256333804</v>
      </c>
      <c r="AB81" s="46">
        <f>SUM(B81:Y81)</f>
        <v>1320681.251266761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89520.05213611503</v>
      </c>
      <c r="C88" s="19">
        <f>SUM(C72:C82,C66,C60,C54,C48,C42,C36)</f>
        <v>217587.052136115</v>
      </c>
      <c r="D88" s="19">
        <f>SUM(D72:D82,D66,D60,D54,D48,D42,D36)</f>
        <v>103128.052136115</v>
      </c>
      <c r="E88" s="19">
        <f>SUM(E72:E82,E66,E60,E54,E48,E42,E36)</f>
        <v>220328.052136115</v>
      </c>
      <c r="F88" s="19">
        <f>SUM(F72:F82,F66,F60,F54,F48,F42,F36)</f>
        <v>130128.052136115</v>
      </c>
      <c r="G88" s="19">
        <f>SUM(G72:G82,G66,G60,G54,G48,G42,G36)</f>
        <v>103128.052136115</v>
      </c>
      <c r="H88" s="19">
        <f>SUM(H72:H82,H66,H60,H54,H48,H42,H36)</f>
        <v>89520.05213611503</v>
      </c>
      <c r="I88" s="19">
        <f>SUM(I72:I82,I66,I60,I54,I48,I42,I36)</f>
        <v>217587.052136115</v>
      </c>
      <c r="J88" s="19">
        <f>SUM(J72:J82,J66,J60,J54,J48,J42,J36)</f>
        <v>103128.052136115</v>
      </c>
      <c r="K88" s="19">
        <f>SUM(K72:K82,K66,K60,K54,K48,K42,K36)</f>
        <v>120328.052136115</v>
      </c>
      <c r="L88" s="19">
        <f>SUM(L72:L82,L66,L60,L54,L48,L42,L36)</f>
        <v>130128.052136115</v>
      </c>
      <c r="M88" s="19">
        <f>SUM(M72:M82,M66,M60,M54,M48,M42,M36)</f>
        <v>103128.052136115</v>
      </c>
      <c r="N88" s="19">
        <f>SUM(N72:N82,N66,N60,N54,N48,N42,N36)</f>
        <v>89520.05213611503</v>
      </c>
      <c r="O88" s="19">
        <f>SUM(O72:O82,O66,O60,O54,O48,O42,O36)</f>
        <v>217587.052136115</v>
      </c>
      <c r="P88" s="19">
        <f>SUM(P72:P82,P66,P60,P54,P48,P42,P36)</f>
        <v>103128.052136115</v>
      </c>
      <c r="Q88" s="19">
        <f>SUM(Q72:Q82,Q66,Q60,Q54,Q48,Q42,Q36)</f>
        <v>120328.052136115</v>
      </c>
      <c r="R88" s="19">
        <f>SUM(R72:R82,R66,R60,R54,R48,R42,R36)</f>
        <v>130128.052136115</v>
      </c>
      <c r="S88" s="19">
        <f>SUM(S72:S82,S66,S60,S54,S48,S42,S36)</f>
        <v>103128.052136115</v>
      </c>
      <c r="T88" s="19">
        <f>SUM(T72:T82,T66,T60,T54,T48,T42,T36)</f>
        <v>89520.05213611503</v>
      </c>
      <c r="U88" s="19">
        <f>SUM(U72:U82,U66,U60,U54,U48,U42,U36)</f>
        <v>217587.052136115</v>
      </c>
      <c r="V88" s="19">
        <f>SUM(V72:V82,V66,V60,V54,V48,V42,V36)</f>
        <v>103128.052136115</v>
      </c>
      <c r="W88" s="19">
        <f>SUM(W72:W82,W66,W60,W54,W48,W42,W36)</f>
        <v>120328.052136115</v>
      </c>
      <c r="X88" s="19">
        <f>SUM(X72:X82,X66,X60,X54,X48,X42,X36)</f>
        <v>130128.052136115</v>
      </c>
      <c r="Y88" s="19">
        <f>SUM(Y72:Y82,Y66,Y60,Y54,Y48,Y42,Y36)</f>
        <v>103128.052136115</v>
      </c>
      <c r="Z88" s="19">
        <f>SUMIF($B$13:$Y$13,"Yes",B88:Y88)</f>
        <v>3155277.251266759</v>
      </c>
      <c r="AA88" s="19">
        <f>SUM(B88:M88)</f>
        <v>1627638.62563338</v>
      </c>
      <c r="AB88" s="19">
        <f>SUM(B88:Y88)</f>
        <v>3155277.251266759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3500000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5000000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9830000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 t="s">
        <v>96</v>
      </c>
      <c r="B9" s="16"/>
      <c r="C9" s="143">
        <v>3</v>
      </c>
      <c r="D9" s="16"/>
      <c r="E9" s="147" t="s">
        <v>90</v>
      </c>
      <c r="F9" s="149" t="s">
        <v>97</v>
      </c>
      <c r="G9" s="147"/>
      <c r="H9" s="147" t="s">
        <v>93</v>
      </c>
      <c r="I9" s="147" t="s">
        <v>93</v>
      </c>
      <c r="J9" s="148" t="s">
        <v>94</v>
      </c>
      <c r="K9" s="138"/>
      <c r="L9" s="16"/>
      <c r="M9" s="165">
        <v>20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4</v>
      </c>
      <c r="D19" s="145">
        <v>3</v>
      </c>
      <c r="E19" s="20"/>
      <c r="F19" s="145" t="s">
        <v>92</v>
      </c>
      <c r="G19" s="20"/>
      <c r="H19" s="20"/>
      <c r="I19" s="145" t="s">
        <v>112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60000</v>
      </c>
    </row>
    <row r="31" spans="1:48">
      <c r="A31" s="5" t="s">
        <v>119</v>
      </c>
      <c r="B31" s="158">
        <v>20000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 t="s">
        <v>125</v>
      </c>
      <c r="B35" s="159">
        <v>100000</v>
      </c>
      <c r="C35" s="145" t="s">
        <v>126</v>
      </c>
      <c r="D35" s="49">
        <f>IFERROR(VLOOKUP(C35,Parameters!$C$79:$D$90,2,0),"")</f>
        <v>5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93</v>
      </c>
    </row>
    <row r="45" spans="1:48">
      <c r="A45" s="56" t="s">
        <v>134</v>
      </c>
      <c r="B45" s="161"/>
    </row>
    <row r="46" spans="1:48" customHeight="1" ht="30">
      <c r="A46" s="57" t="s">
        <v>135</v>
      </c>
      <c r="B46" s="161">
        <v>5000000</v>
      </c>
    </row>
    <row r="47" spans="1:48" customHeight="1" ht="30">
      <c r="A47" s="57" t="s">
        <v>136</v>
      </c>
      <c r="B47" s="161">
        <v>200000</v>
      </c>
    </row>
    <row r="48" spans="1:48" customHeight="1" ht="30">
      <c r="A48" s="57" t="s">
        <v>137</v>
      </c>
      <c r="B48" s="161">
        <v>300000</v>
      </c>
    </row>
    <row r="49" spans="1:48" customHeight="1" ht="30">
      <c r="A49" s="57" t="s">
        <v>138</v>
      </c>
      <c r="B49" s="161">
        <v>30000</v>
      </c>
    </row>
    <row r="50" spans="1:48">
      <c r="A50" s="43"/>
      <c r="B50" s="36"/>
    </row>
    <row r="51" spans="1:48">
      <c r="A51" s="58" t="s">
        <v>139</v>
      </c>
      <c r="B51" s="161">
        <v>20000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100000</v>
      </c>
      <c r="B56" s="159">
        <v>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>
        <v>75000</v>
      </c>
      <c r="B57" s="157">
        <v>0</v>
      </c>
      <c r="C57" s="164" t="s">
        <v>150</v>
      </c>
      <c r="D57" s="165" t="s">
        <v>151</v>
      </c>
      <c r="E57" s="165" t="s">
        <v>92</v>
      </c>
      <c r="F57" s="165" t="s">
        <v>149</v>
      </c>
    </row>
    <row r="58" spans="1:48">
      <c r="A58" s="157">
        <v>9000</v>
      </c>
      <c r="B58" s="157">
        <v>0</v>
      </c>
      <c r="C58" s="164" t="s">
        <v>152</v>
      </c>
      <c r="D58" s="165" t="s">
        <v>153</v>
      </c>
      <c r="E58" s="165" t="s">
        <v>93</v>
      </c>
      <c r="F58" s="165" t="s">
        <v>149</v>
      </c>
    </row>
    <row r="59" spans="1:48">
      <c r="A59" s="157">
        <v>12200</v>
      </c>
      <c r="B59" s="157">
        <v>0</v>
      </c>
      <c r="C59" s="164" t="s">
        <v>154</v>
      </c>
      <c r="D59" s="165" t="s">
        <v>153</v>
      </c>
      <c r="E59" s="165" t="s">
        <v>92</v>
      </c>
      <c r="F59" s="165" t="s">
        <v>149</v>
      </c>
    </row>
    <row r="60" spans="1:48">
      <c r="A60" s="158">
        <v>9000</v>
      </c>
      <c r="B60" s="158">
        <v>0</v>
      </c>
      <c r="C60" s="166" t="s">
        <v>155</v>
      </c>
      <c r="D60" s="167" t="s">
        <v>153</v>
      </c>
      <c r="E60" s="167" t="s">
        <v>92</v>
      </c>
      <c r="F60" s="167" t="s">
        <v>149</v>
      </c>
    </row>
    <row r="63" spans="1:48">
      <c r="A63" s="3" t="s">
        <v>156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157</v>
      </c>
      <c r="C65" s="10" t="s">
        <v>158</v>
      </c>
    </row>
    <row r="66" spans="1:48">
      <c r="A66" s="142" t="s">
        <v>159</v>
      </c>
      <c r="B66" s="159">
        <v>142000</v>
      </c>
      <c r="C66" s="163">
        <v>140000</v>
      </c>
      <c r="D66" s="49">
        <f>INDEX(Parameters!$D$79:$D$90,MATCH(Inputs!A66,Parameters!$C$79:$C$90,0))</f>
        <v>2</v>
      </c>
    </row>
    <row r="67" spans="1:48">
      <c r="A67" s="143" t="s">
        <v>160</v>
      </c>
      <c r="B67" s="157">
        <v>226000</v>
      </c>
      <c r="C67" s="165">
        <v>225000</v>
      </c>
      <c r="D67" s="49">
        <f>INDEX(Parameters!$D$79:$D$90,MATCH(Inputs!A67,Parameters!$C$79:$C$90,0))</f>
        <v>1</v>
      </c>
    </row>
    <row r="68" spans="1:48">
      <c r="A68" s="143" t="s">
        <v>161</v>
      </c>
      <c r="B68" s="157">
        <v>281000</v>
      </c>
      <c r="C68" s="165">
        <v>275000</v>
      </c>
      <c r="D68" s="49">
        <f>INDEX(Parameters!$D$79:$D$90,MATCH(Inputs!A68,Parameters!$C$79:$C$90,0))</f>
        <v>12</v>
      </c>
    </row>
    <row r="69" spans="1:48">
      <c r="A69" s="143" t="s">
        <v>162</v>
      </c>
      <c r="B69" s="157">
        <v>609000</v>
      </c>
      <c r="C69" s="165">
        <v>6085000</v>
      </c>
      <c r="D69" s="49">
        <f>INDEX(Parameters!$D$79:$D$90,MATCH(Inputs!A69,Parameters!$C$79:$C$90,0))</f>
        <v>11</v>
      </c>
    </row>
    <row r="70" spans="1:48">
      <c r="A70" s="143" t="s">
        <v>163</v>
      </c>
      <c r="B70" s="157">
        <v>629000</v>
      </c>
      <c r="C70" s="165">
        <v>628000</v>
      </c>
      <c r="D70" s="49">
        <f>INDEX(Parameters!$D$79:$D$90,MATCH(Inputs!A70,Parameters!$C$79:$C$90,0))</f>
        <v>10</v>
      </c>
    </row>
    <row r="71" spans="1:48">
      <c r="A71" s="144" t="s">
        <v>164</v>
      </c>
      <c r="B71" s="158">
        <v>489000</v>
      </c>
      <c r="C71" s="167">
        <v>485600</v>
      </c>
      <c r="D71" s="49">
        <f>INDEX(Parameters!$D$79:$D$90,MATCH(Inputs!A71,Parameters!$C$79:$C$90,0))</f>
        <v>9</v>
      </c>
    </row>
    <row r="73" spans="1:48">
      <c r="A73" s="3" t="s">
        <v>165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166</v>
      </c>
      <c r="B75" s="161">
        <v>5</v>
      </c>
    </row>
    <row r="76" spans="1:48">
      <c r="A76" t="s">
        <v>167</v>
      </c>
      <c r="B76" s="168" t="s">
        <v>168</v>
      </c>
    </row>
    <row r="78" spans="1:48" customHeight="1" ht="20.25">
      <c r="B78" s="127" t="s">
        <v>169</v>
      </c>
    </row>
    <row r="79" spans="1:48">
      <c r="A79" t="s">
        <v>170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300000</v>
      </c>
    </row>
    <row r="82" spans="1:48">
      <c r="A82" t="s">
        <v>174</v>
      </c>
      <c r="B82" s="161">
        <v>18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24</v>
      </c>
    </row>
    <row r="86" spans="1:48">
      <c r="A86" t="s">
        <v>179</v>
      </c>
      <c r="B86" s="161">
        <v>5</v>
      </c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42795</v>
      </c>
      <c r="C4" s="38">
        <f>IFERROR(DATE(YEAR(B4),MONTH(B4)+ROUND(T4/2,0),DAY(B4)),B4)</f>
        <v>42856</v>
      </c>
      <c r="D4" s="38">
        <f>IFERROR(DATE(YEAR(B4),MONTH(B4)+T4,DAY(B4)),"")</f>
        <v>42917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43101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34232.05893311948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728458.2140967825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43200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42795</v>
      </c>
      <c r="C5" s="39">
        <f>IFERROR(DATE(YEAR(B5),MONTH(B5)+ROUND(T5/2,0),DAY(B5)),B5)</f>
        <v>42887</v>
      </c>
      <c r="D5" s="39">
        <f>IFERROR(DATE(YEAR(B5),MONTH(B5)+T5,DAY(B5)),"")</f>
        <v>42948</v>
      </c>
      <c r="E5" s="39">
        <f>IFERROR(IF($S5=0,"",IF($S5=2,DATE(YEAR(B5),MONTH(B5)+6,DAY(B5)),IF($S5=1,B5,""))),"")</f>
        <v>42979</v>
      </c>
      <c r="F5" s="39">
        <f>IFERROR(IF($S5=0,"",IF($S5=2,DATE(YEAR(C5),MONTH(C5)+6,DAY(C5)),IF($S5=1,C5,""))),"")</f>
        <v>43070</v>
      </c>
      <c r="G5" s="39">
        <f>IFERROR(IF($S5=0,"",IF($S5=2,DATE(YEAR(D5),MONTH(D5)+6,DAY(D5)),IF($S5=1,D5,""))),"")</f>
        <v>43132</v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1599.557862963579</v>
      </c>
      <c r="M5" s="30">
        <f>L5*H5</f>
        <v>4798.673588890736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262007.5779534342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11550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27000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40500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42795</v>
      </c>
      <c r="C6" s="39">
        <f>IFERROR(DATE(YEAR(B6),MONTH(B6)+ROUND(T6/2,0),DAY(B6)),B6)</f>
        <v>42856</v>
      </c>
      <c r="D6" s="39">
        <f>IFERROR(DATE(YEAR(B6),MONTH(B6)+T6,DAY(B6)),"")</f>
        <v>42917</v>
      </c>
      <c r="E6" s="39">
        <f>IFERROR(IF($S6=0,"",IF($S6=2,DATE(YEAR(B6),MONTH(B6)+6,DAY(B6)),IF($S6=1,B6,""))),"")</f>
        <v>42979</v>
      </c>
      <c r="F6" s="39">
        <f>IFERROR(IF($S6=0,"",IF($S6=2,DATE(YEAR(C6),MONTH(C6)+6,DAY(C6)),IF($S6=1,C6,""))),"")</f>
        <v>43040</v>
      </c>
      <c r="G6" s="39">
        <f>IFERROR(IF($S6=0,"",IF($S6=2,DATE(YEAR(D6),MONTH(D6)+6,DAY(D6)),IF($S6=1,D6,""))),"")</f>
        <v>43101</v>
      </c>
      <c r="H6" s="16">
        <f>Inputs!C9</f>
        <v>3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680.1465479487517</v>
      </c>
      <c r="M6" s="30">
        <f>L6*H6</f>
        <v>2040.439643846255</v>
      </c>
      <c r="N6" s="22">
        <f>Calculations!U6</f>
        <v>0.2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68558.77203323417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0.2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909.0000000000002</v>
      </c>
      <c r="W6" s="34">
        <f>IFERROR(J6*H6*Parameters!$B$35+IF(OR(Inputs!F9=Parameters!$E$78,Inputs!F9=Parameters!$E$80),Calculations!H6*Parameters!$B$36,0),0)</f>
        <v>6000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32400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739125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75000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9000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12200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9000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42816</v>
      </c>
      <c r="C33" s="27">
        <f>IF(B33&lt;&gt;"",IF(COUNT($A$33:A33)&lt;=$G$39,0,$G$41)+IF(COUNT($A$33:A33)&lt;=$G$40,0,$G$42),0)</f>
        <v>4500</v>
      </c>
      <c r="D33" s="170">
        <f>IFERROR(DATE(YEAR(B33),MONTH(B33),1)," ")</f>
        <v>42795</v>
      </c>
      <c r="F33" t="s">
        <v>170</v>
      </c>
      <c r="G33" s="128">
        <f>IF(Inputs!B79="","",DATE(YEAR(Inputs!B79),MONTH(Inputs!B79),DAY(Inputs!B79)))</f>
        <v>42788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42847</v>
      </c>
      <c r="C34" s="27">
        <f>IF(B34&lt;&gt;"",IF(COUNT($A$33:A34)&lt;=$G$39,0,$G$41)+IF(COUNT($A$33:A34)&lt;=$G$40,0,$G$42),0)</f>
        <v>4500</v>
      </c>
      <c r="D34" s="170">
        <f>IFERROR(DATE(YEAR(B34),MONTH(B34),1)," ")</f>
        <v>42826</v>
      </c>
      <c r="F34" t="s">
        <v>171</v>
      </c>
      <c r="G34" s="128">
        <f>IF(Inputs!B80="","",DATE(YEAR(Inputs!B80),MONTH(Inputs!B80),DAY(Inputs!B80)))</f>
        <v>42816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42877</v>
      </c>
      <c r="C35" s="27">
        <f>IF(B35&lt;&gt;"",IF(COUNT($A$33:A35)&lt;=$G$39,0,$G$41)+IF(COUNT($A$33:A35)&lt;=$G$40,0,$G$42),0)</f>
        <v>4500</v>
      </c>
      <c r="D35" s="170">
        <f>IFERROR(DATE(YEAR(B35),MONTH(B35),1)," ")</f>
        <v>42856</v>
      </c>
      <c r="F35" t="s">
        <v>173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42908</v>
      </c>
      <c r="C36" s="27">
        <f>IF(B36&lt;&gt;"",IF(COUNT($A$33:A36)&lt;=$G$39,0,$G$41)+IF(COUNT($A$33:A36)&lt;=$G$40,0,$G$42),0)</f>
        <v>4500</v>
      </c>
      <c r="D36" s="170">
        <f>IFERROR(DATE(YEAR(B36),MONTH(B36),1)," ")</f>
        <v>42887</v>
      </c>
      <c r="F36" t="s">
        <v>174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42938</v>
      </c>
      <c r="C37" s="27">
        <f>IF(B37&lt;&gt;"",IF(COUNT($A$33:A37)&lt;=$G$39,0,$G$41)+IF(COUNT($A$33:A37)&lt;=$G$40,0,$G$42),0)</f>
        <v>4500</v>
      </c>
      <c r="D37" s="170">
        <f>IFERROR(DATE(YEAR(B37),MONTH(B37),1)," ")</f>
        <v>42917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42969</v>
      </c>
      <c r="C38" s="27">
        <f>IF(B38&lt;&gt;"",IF(COUNT($A$33:A38)&lt;=$G$39,0,$G$41)+IF(COUNT($A$33:A38)&lt;=$G$40,0,$G$42),0)</f>
        <v>20289.47368421053</v>
      </c>
      <c r="D38" s="170">
        <f>IFERROR(DATE(YEAR(B38),MONTH(B38),1)," ")</f>
        <v>42948</v>
      </c>
      <c r="F38" t="s">
        <v>236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43000</v>
      </c>
      <c r="C39" s="27">
        <f>IF(B39&lt;&gt;"",IF(COUNT($A$33:A39)&lt;=$G$39,0,$G$41)+IF(COUNT($A$33:A39)&lt;=$G$40,0,$G$42),0)</f>
        <v>20289.47368421053</v>
      </c>
      <c r="D39" s="170">
        <f>IFERROR(DATE(YEAR(B39),MONTH(B39),1)," ")</f>
        <v>42979</v>
      </c>
      <c r="F39" t="s">
        <v>179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43030</v>
      </c>
      <c r="C40" s="27">
        <f>IF(B40&lt;&gt;"",IF(COUNT($A$33:A40)&lt;=$G$39,0,$G$41)+IF(COUNT($A$33:A40)&lt;=$G$40,0,$G$42),0)</f>
        <v>20289.47368421053</v>
      </c>
      <c r="D40" s="170">
        <f>IFERROR(DATE(YEAR(B40),MONTH(B40),1)," ")</f>
        <v>43009</v>
      </c>
      <c r="F40" t="s">
        <v>180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43061</v>
      </c>
      <c r="C41" s="27">
        <f>IF(B41&lt;&gt;"",IF(COUNT($A$33:A41)&lt;=$G$39,0,$G$41)+IF(COUNT($A$33:A41)&lt;=$G$40,0,$G$42),0)</f>
        <v>20289.47368421053</v>
      </c>
      <c r="D41" s="170">
        <f>IFERROR(DATE(YEAR(B41),MONTH(B41),1)," ")</f>
        <v>43040</v>
      </c>
      <c r="F41" t="s">
        <v>237</v>
      </c>
      <c r="G41" s="73">
        <f>IFERROR(G35/(G38-G39),"")</f>
        <v>15789.47368421053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43091</v>
      </c>
      <c r="C42" s="27">
        <f>IF(B42&lt;&gt;"",IF(COUNT($A$33:A42)&lt;=$G$39,0,$G$41)+IF(COUNT($A$33:A42)&lt;=$G$40,0,$G$42),0)</f>
        <v>20289.47368421053</v>
      </c>
      <c r="D42" s="170">
        <f>IFERROR(DATE(YEAR(B42),MONTH(B42),1)," ")</f>
        <v>43070</v>
      </c>
      <c r="F42" t="s">
        <v>238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43122</v>
      </c>
      <c r="C43" s="27">
        <f>IF(B43&lt;&gt;"",IF(COUNT($A$33:A43)&lt;=$G$39,0,$G$41)+IF(COUNT($A$33:A43)&lt;=$G$40,0,$G$42),0)</f>
        <v>20289.47368421053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43153</v>
      </c>
      <c r="C44" s="27">
        <f>IF(B44&lt;&gt;"",IF(COUNT($A$33:A44)&lt;=$G$39,0,$G$41)+IF(COUNT($A$33:A44)&lt;=$G$40,0,$G$42),0)</f>
        <v>20289.47368421053</v>
      </c>
      <c r="D44" s="170">
        <f>IFERROR(DATE(YEAR(B44),MONTH(B44),1)," ")</f>
        <v>43132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43181</v>
      </c>
      <c r="C45" s="27">
        <f>IF(B45&lt;&gt;"",IF(COUNT($A$33:A45)&lt;=$G$39,0,$G$41)+IF(COUNT($A$33:A45)&lt;=$G$40,0,$G$42),0)</f>
        <v>20289.47368421053</v>
      </c>
      <c r="D45" s="170">
        <f>IFERROR(DATE(YEAR(B45),MONTH(B45),1)," ")</f>
        <v>43160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43212</v>
      </c>
      <c r="C46" s="27">
        <f>IF(B46&lt;&gt;"",IF(COUNT($A$33:A46)&lt;=$G$39,0,$G$41)+IF(COUNT($A$33:A46)&lt;=$G$40,0,$G$42),0)</f>
        <v>20289.47368421053</v>
      </c>
      <c r="D46" s="170">
        <f>IFERROR(DATE(YEAR(B46),MONTH(B46),1)," ")</f>
        <v>43191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43242</v>
      </c>
      <c r="C47" s="27">
        <f>IF(B47&lt;&gt;"",IF(COUNT($A$33:A47)&lt;=$G$39,0,$G$41)+IF(COUNT($A$33:A47)&lt;=$G$40,0,$G$42),0)</f>
        <v>20289.47368421053</v>
      </c>
      <c r="D47" s="170">
        <f>IFERROR(DATE(YEAR(B47),MONTH(B47),1)," ")</f>
        <v>43221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43273</v>
      </c>
      <c r="C48" s="27">
        <f>IF(B48&lt;&gt;"",IF(COUNT($A$33:A48)&lt;=$G$39,0,$G$41)+IF(COUNT($A$33:A48)&lt;=$G$40,0,$G$42),0)</f>
        <v>20289.47368421053</v>
      </c>
      <c r="D48" s="170">
        <f>IFERROR(DATE(YEAR(B48),MONTH(B48),1)," ")</f>
        <v>43252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43303</v>
      </c>
      <c r="C49" s="27">
        <f>IF(B49&lt;&gt;"",IF(COUNT($A$33:A49)&lt;=$G$39,0,$G$41)+IF(COUNT($A$33:A49)&lt;=$G$40,0,$G$42),0)</f>
        <v>20289.47368421053</v>
      </c>
      <c r="D49" s="170">
        <f>IFERROR(DATE(YEAR(B49),MONTH(B49),1)," ")</f>
        <v>43282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43334</v>
      </c>
      <c r="C50" s="27">
        <f>IF(B50&lt;&gt;"",IF(COUNT($A$33:A50)&lt;=$G$39,0,$G$41)+IF(COUNT($A$33:A50)&lt;=$G$40,0,$G$42),0)</f>
        <v>20289.47368421053</v>
      </c>
      <c r="D50" s="170">
        <f>IFERROR(DATE(YEAR(B50),MONTH(B50),1)," ")</f>
        <v>43313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43365</v>
      </c>
      <c r="C51" s="27">
        <f>IF(B51&lt;&gt;"",IF(COUNT($A$33:A51)&lt;=$G$39,0,$G$41)+IF(COUNT($A$33:A51)&lt;=$G$40,0,$G$42),0)</f>
        <v>20289.47368421053</v>
      </c>
      <c r="D51" s="170">
        <f>IFERROR(DATE(YEAR(B51),MONTH(B51),1)," ")</f>
        <v>43344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43395</v>
      </c>
      <c r="C52" s="27">
        <f>IF(B52&lt;&gt;"",IF(COUNT($A$33:A52)&lt;=$G$39,0,$G$41)+IF(COUNT($A$33:A52)&lt;=$G$40,0,$G$42),0)</f>
        <v>20289.47368421053</v>
      </c>
      <c r="D52" s="170">
        <f>IFERROR(DATE(YEAR(B52),MONTH(B52),1)," ")</f>
        <v>43374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43426</v>
      </c>
      <c r="C53" s="27">
        <f>IF(B53&lt;&gt;"",IF(COUNT($A$33:A53)&lt;=$G$39,0,$G$41)+IF(COUNT($A$33:A53)&lt;=$G$40,0,$G$42),0)</f>
        <v>20289.47368421053</v>
      </c>
      <c r="D53" s="170">
        <f>IFERROR(DATE(YEAR(B53),MONTH(B53),1)," ")</f>
        <v>43405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43456</v>
      </c>
      <c r="C54" s="27">
        <f>IF(B54&lt;&gt;"",IF(COUNT($A$33:A54)&lt;=$G$39,0,$G$41)+IF(COUNT($A$33:A54)&lt;=$G$40,0,$G$42),0)</f>
        <v>20289.47368421053</v>
      </c>
      <c r="D54" s="170">
        <f>IFERROR(DATE(YEAR(B54),MONTH(B54),1)," ")</f>
        <v>43435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43487</v>
      </c>
      <c r="C55" s="27">
        <f>IF(B55&lt;&gt;"",IF(COUNT($A$33:A55)&lt;=$G$39,0,$G$41)+IF(COUNT($A$33:A55)&lt;=$G$40,0,$G$42),0)</f>
        <v>20289.47368421053</v>
      </c>
      <c r="D55" s="170">
        <f>IFERROR(DATE(YEAR(B55),MONTH(B55),1)," ")</f>
        <v>43466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43518</v>
      </c>
      <c r="C56" s="27">
        <f>IF(B56&lt;&gt;"",IF(COUNT($A$33:A56)&lt;=$G$39,0,$G$41)+IF(COUNT($A$33:A56)&lt;=$G$40,0,$G$42),0)</f>
        <v>20289.47368421053</v>
      </c>
      <c r="D56" s="170">
        <f>IFERROR(DATE(YEAR(B56),MONTH(B56),1)," ")</f>
        <v>43497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271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287</v>
      </c>
      <c r="C22" s="10" t="s">
        <v>288</v>
      </c>
      <c r="D22" s="10" t="s">
        <v>289</v>
      </c>
      <c r="E22" s="10" t="s">
        <v>290</v>
      </c>
      <c r="F22" s="10" t="s">
        <v>291</v>
      </c>
      <c r="G22" s="10" t="s">
        <v>292</v>
      </c>
      <c r="H22" s="10" t="s">
        <v>293</v>
      </c>
      <c r="I22" s="10" t="s">
        <v>211</v>
      </c>
      <c r="J22" s="10" t="s">
        <v>294</v>
      </c>
      <c r="K22" s="10" t="s">
        <v>295</v>
      </c>
      <c r="L22" s="10" t="s">
        <v>296</v>
      </c>
      <c r="M22" s="10" t="s">
        <v>297</v>
      </c>
      <c r="N22" s="10" t="s">
        <v>298</v>
      </c>
      <c r="O22" s="10" t="s">
        <v>299</v>
      </c>
      <c r="P22" s="10" t="s">
        <v>300</v>
      </c>
    </row>
    <row r="23" spans="1:36" s="21" customFormat="1">
      <c r="A23" s="21" t="s">
        <v>301</v>
      </c>
      <c r="B23" s="21" t="s">
        <v>302</v>
      </c>
      <c r="C23" s="72" t="s">
        <v>303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304</v>
      </c>
      <c r="B24" s="21" t="s">
        <v>305</v>
      </c>
      <c r="C24" s="116" t="s">
        <v>273</v>
      </c>
      <c r="D24" s="115" t="s">
        <v>273</v>
      </c>
      <c r="E24" s="106">
        <v>0.05</v>
      </c>
      <c r="F24" s="106">
        <v>0.1</v>
      </c>
      <c r="G24" s="106">
        <v>0.2</v>
      </c>
      <c r="H24" s="116" t="s">
        <v>273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273</v>
      </c>
      <c r="J25" s="72" t="s">
        <v>273</v>
      </c>
      <c r="K25" s="72" t="s">
        <v>273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308</v>
      </c>
      <c r="B26" s="16" t="s">
        <v>305</v>
      </c>
      <c r="C26" s="116" t="s">
        <v>273</v>
      </c>
      <c r="D26" s="115" t="s">
        <v>273</v>
      </c>
      <c r="E26" s="106">
        <v>0.2</v>
      </c>
      <c r="F26" s="106">
        <v>0.7</v>
      </c>
      <c r="G26" s="106">
        <v>2</v>
      </c>
      <c r="H26" s="116" t="s">
        <v>273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309</v>
      </c>
      <c r="B27" s="71" t="s">
        <v>305</v>
      </c>
      <c r="C27" s="116" t="s">
        <v>273</v>
      </c>
      <c r="D27" s="115" t="s">
        <v>273</v>
      </c>
      <c r="E27" s="106">
        <v>0.15</v>
      </c>
      <c r="F27" s="106">
        <v>0.25</v>
      </c>
      <c r="G27" s="106">
        <v>1</v>
      </c>
      <c r="H27" s="116" t="s">
        <v>273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310</v>
      </c>
      <c r="B28" s="71" t="s">
        <v>305</v>
      </c>
      <c r="C28" s="116" t="s">
        <v>273</v>
      </c>
      <c r="D28" s="115" t="s">
        <v>273</v>
      </c>
      <c r="E28" s="106">
        <v>0.15</v>
      </c>
      <c r="F28" s="106">
        <v>0.25</v>
      </c>
      <c r="G28" s="106">
        <v>1</v>
      </c>
      <c r="H28" s="116" t="s">
        <v>273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311</v>
      </c>
      <c r="B29" s="118" t="s">
        <v>305</v>
      </c>
      <c r="C29" s="31" t="s">
        <v>273</v>
      </c>
      <c r="D29" s="31" t="s">
        <v>273</v>
      </c>
      <c r="E29" s="24">
        <v>0.1</v>
      </c>
      <c r="F29" s="24">
        <v>0.2</v>
      </c>
      <c r="G29" s="24">
        <v>0</v>
      </c>
      <c r="H29" s="31" t="s">
        <v>273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312</v>
      </c>
      <c r="B30" s="70" t="s">
        <v>305</v>
      </c>
    </row>
    <row r="31" spans="1:36">
      <c r="H31" s="86"/>
      <c r="I31" s="86"/>
      <c r="AI31" s="12"/>
    </row>
    <row r="32" spans="1:36">
      <c r="A32" s="3" t="s">
        <v>313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314</v>
      </c>
      <c r="B34" s="11" t="s">
        <v>315</v>
      </c>
    </row>
    <row r="35" spans="1:36">
      <c r="A35" t="s">
        <v>316</v>
      </c>
      <c r="B35" s="72">
        <v>60</v>
      </c>
      <c r="C35" s="86"/>
    </row>
    <row r="36" spans="1:36">
      <c r="A36" t="s">
        <v>317</v>
      </c>
      <c r="B36" s="72">
        <v>2000</v>
      </c>
      <c r="C36" s="86"/>
    </row>
    <row r="37" spans="1:36">
      <c r="A37" t="s">
        <v>318</v>
      </c>
      <c r="B37" s="2">
        <v>0.4</v>
      </c>
    </row>
    <row r="39" spans="1:36">
      <c r="A39" s="3" t="s">
        <v>319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320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301</v>
      </c>
      <c r="B42" s="72">
        <v>450</v>
      </c>
      <c r="C42" s="72">
        <v>450</v>
      </c>
    </row>
    <row r="43" spans="1:36">
      <c r="A43" t="s">
        <v>304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308</v>
      </c>
      <c r="B45" s="72">
        <v>25000</v>
      </c>
      <c r="C45" s="72">
        <v>50000</v>
      </c>
    </row>
    <row r="46" spans="1:36">
      <c r="A46" t="s">
        <v>309</v>
      </c>
      <c r="B46" s="72">
        <v>6000</v>
      </c>
      <c r="C46" s="72">
        <v>12000</v>
      </c>
    </row>
    <row r="47" spans="1:36">
      <c r="A47" t="s">
        <v>310</v>
      </c>
      <c r="B47" s="72">
        <v>4500</v>
      </c>
      <c r="C47" s="72">
        <v>12000</v>
      </c>
    </row>
    <row r="48" spans="1:36">
      <c r="A48" t="s">
        <v>311</v>
      </c>
      <c r="B48" s="72">
        <v>20000</v>
      </c>
      <c r="C48" s="72">
        <v>20000</v>
      </c>
      <c r="D48" s="72"/>
    </row>
    <row r="50" spans="1:36">
      <c r="A50" s="3" t="s">
        <v>321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96</v>
      </c>
      <c r="E52" s="12" t="s">
        <v>96</v>
      </c>
      <c r="F52" s="12" t="s">
        <v>96</v>
      </c>
      <c r="G52" s="12" t="s">
        <v>322</v>
      </c>
      <c r="H52" s="12" t="s">
        <v>132</v>
      </c>
      <c r="I52" s="12" t="s">
        <v>323</v>
      </c>
      <c r="AJ52" s="12"/>
    </row>
    <row r="53" spans="1:36" customHeight="1" ht="30">
      <c r="A53" s="11" t="s">
        <v>324</v>
      </c>
      <c r="B53" s="11" t="s">
        <v>325</v>
      </c>
      <c r="C53" s="11" t="s">
        <v>326</v>
      </c>
      <c r="D53" s="10" t="s">
        <v>239</v>
      </c>
      <c r="E53" s="10" t="s">
        <v>198</v>
      </c>
      <c r="F53" s="10" t="s">
        <v>258</v>
      </c>
      <c r="G53" s="10" t="s">
        <v>327</v>
      </c>
      <c r="H53" s="10" t="s">
        <v>328</v>
      </c>
      <c r="I53" s="10" t="s">
        <v>328</v>
      </c>
      <c r="AJ53" s="12"/>
    </row>
    <row r="54" spans="1:36">
      <c r="A54">
        <v>8</v>
      </c>
      <c r="B54" s="12" t="s">
        <v>329</v>
      </c>
      <c r="C54" s="12" t="s">
        <v>330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331</v>
      </c>
      <c r="C55" s="12" t="s">
        <v>330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332</v>
      </c>
      <c r="C56" s="116" t="s">
        <v>333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334</v>
      </c>
      <c r="C57" s="116" t="s">
        <v>330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335</v>
      </c>
      <c r="C58" s="116" t="s">
        <v>330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336</v>
      </c>
      <c r="C59" s="116" t="s">
        <v>333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337</v>
      </c>
      <c r="C60" s="116" t="s">
        <v>333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338</v>
      </c>
      <c r="C61" s="116" t="s">
        <v>333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339</v>
      </c>
      <c r="C62" s="116" t="s">
        <v>333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340</v>
      </c>
      <c r="C63" s="116" t="s">
        <v>333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341</v>
      </c>
      <c r="C64" s="116" t="s">
        <v>333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342</v>
      </c>
      <c r="C65" s="12" t="s">
        <v>333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343</v>
      </c>
      <c r="C66" s="12" t="s">
        <v>333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344</v>
      </c>
      <c r="C67" s="12" t="s">
        <v>333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345</v>
      </c>
      <c r="C68" s="12" t="s">
        <v>333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346</v>
      </c>
      <c r="C69" s="12" t="s">
        <v>333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347</v>
      </c>
      <c r="C70" s="12" t="s">
        <v>333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348</v>
      </c>
      <c r="C71" s="12" t="s">
        <v>330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350</v>
      </c>
      <c r="B76" s="11" t="s">
        <v>351</v>
      </c>
      <c r="C76" s="11" t="s">
        <v>176</v>
      </c>
      <c r="D76" s="11" t="s">
        <v>352</v>
      </c>
      <c r="E76" s="11" t="s">
        <v>80</v>
      </c>
      <c r="F76" s="11" t="s">
        <v>353</v>
      </c>
      <c r="G76" s="11" t="s">
        <v>354</v>
      </c>
      <c r="H76" s="11" t="s">
        <v>355</v>
      </c>
      <c r="I76" s="11" t="s">
        <v>235</v>
      </c>
      <c r="J76" s="11" t="s">
        <v>356</v>
      </c>
      <c r="K76" s="11" t="s">
        <v>188</v>
      </c>
      <c r="AJ76" s="12"/>
    </row>
    <row r="77" spans="1:36">
      <c r="A77" t="s">
        <v>92</v>
      </c>
      <c r="B77" s="176">
        <v>0</v>
      </c>
      <c r="C77" s="12" t="s">
        <v>357</v>
      </c>
      <c r="E77" s="12" t="s">
        <v>93</v>
      </c>
      <c r="F77" s="12" t="s">
        <v>93</v>
      </c>
      <c r="G77" s="12" t="s">
        <v>358</v>
      </c>
      <c r="H77" s="12" t="s">
        <v>132</v>
      </c>
      <c r="I77" s="12" t="s">
        <v>359</v>
      </c>
      <c r="J77" s="136" t="s">
        <v>360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361</v>
      </c>
      <c r="D78" s="133"/>
      <c r="E78" s="12" t="s">
        <v>97</v>
      </c>
      <c r="F78" s="12" t="s">
        <v>362</v>
      </c>
      <c r="G78" s="12" t="s">
        <v>363</v>
      </c>
      <c r="H78" s="12" t="s">
        <v>323</v>
      </c>
      <c r="I78" s="12" t="s">
        <v>364</v>
      </c>
      <c r="J78" s="70" t="s">
        <v>365</v>
      </c>
      <c r="K78" s="12" t="s">
        <v>93</v>
      </c>
      <c r="AJ78" s="12"/>
    </row>
    <row r="79" spans="1:36">
      <c r="B79" s="176">
        <v>10</v>
      </c>
      <c r="C79" s="12" t="s">
        <v>160</v>
      </c>
      <c r="D79" s="12">
        <v>1</v>
      </c>
      <c r="E79" s="12" t="s">
        <v>366</v>
      </c>
      <c r="F79" s="12" t="s">
        <v>367</v>
      </c>
      <c r="G79" s="12" t="s">
        <v>112</v>
      </c>
      <c r="I79" s="12" t="s">
        <v>176</v>
      </c>
      <c r="J79" s="70" t="s">
        <v>368</v>
      </c>
      <c r="K79" s="12" t="s">
        <v>93</v>
      </c>
      <c r="AJ79" s="12"/>
    </row>
    <row r="80" spans="1:36">
      <c r="B80" s="176">
        <v>20</v>
      </c>
      <c r="C80" s="12" t="s">
        <v>159</v>
      </c>
      <c r="D80" s="12">
        <f>D79+1</f>
        <v>2</v>
      </c>
      <c r="E80" s="12" t="s">
        <v>369</v>
      </c>
      <c r="F80" s="12" t="s">
        <v>370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371</v>
      </c>
      <c r="K81" s="12" t="s">
        <v>92</v>
      </c>
    </row>
    <row r="82" spans="1:36">
      <c r="B82" s="176">
        <v>40</v>
      </c>
      <c r="C82" s="12" t="s">
        <v>372</v>
      </c>
      <c r="D82" s="12">
        <f>D81+1</f>
        <v>4</v>
      </c>
      <c r="J82" s="70"/>
    </row>
    <row r="83" spans="1:36">
      <c r="B83" s="176">
        <v>50</v>
      </c>
      <c r="C83" s="12" t="s">
        <v>126</v>
      </c>
      <c r="D83" s="12">
        <f>D82+1</f>
        <v>5</v>
      </c>
    </row>
    <row r="84" spans="1:36">
      <c r="B84" s="176">
        <v>60</v>
      </c>
      <c r="C84" s="12" t="s">
        <v>373</v>
      </c>
      <c r="D84" s="12">
        <f>D83+1</f>
        <v>6</v>
      </c>
    </row>
    <row r="85" spans="1:36">
      <c r="B85" s="176">
        <v>70</v>
      </c>
      <c r="C85" s="12" t="s">
        <v>374</v>
      </c>
      <c r="D85" s="12">
        <f>D84+1</f>
        <v>7</v>
      </c>
    </row>
    <row r="86" spans="1:36">
      <c r="B86" s="176">
        <v>80</v>
      </c>
      <c r="C86" s="12" t="s">
        <v>375</v>
      </c>
      <c r="D86" s="12">
        <f>D85+1</f>
        <v>8</v>
      </c>
    </row>
    <row r="87" spans="1:36">
      <c r="B87" s="176">
        <v>89.99999999999999</v>
      </c>
      <c r="C87" s="12" t="s">
        <v>164</v>
      </c>
      <c r="D87" s="12">
        <f>D86+1</f>
        <v>9</v>
      </c>
    </row>
    <row r="88" spans="1:36">
      <c r="B88" s="176">
        <v>99.99999999999999</v>
      </c>
      <c r="C88" s="12" t="s">
        <v>163</v>
      </c>
      <c r="D88" s="12">
        <f>D87+1</f>
        <v>10</v>
      </c>
    </row>
    <row r="89" spans="1:36">
      <c r="C89" s="12" t="s">
        <v>162</v>
      </c>
      <c r="D89" s="12">
        <f>D88+1</f>
        <v>11</v>
      </c>
    </row>
    <row r="90" spans="1:36">
      <c r="C90" s="12" t="s">
        <v>161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