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<sst xmlns="http://schemas.openxmlformats.org/spreadsheetml/2006/main" uniqueCount="369">
  <si>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</si>
  <si>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</si>
  <si>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</si>
  <si>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</si>
  <si>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</si>
  <si>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</si>
  <si>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</si>
  <si>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</si>
  <si>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</si>
  <si>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</si>
  <si>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</si>
  <si>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</si>
  <si>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</si>
  <si>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</si>
  <si>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</si>
  <si>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</si>
  <si>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</si>
  <si>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</si>
  <si>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</si>
  <si>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</si>
  <si>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</si>
  <si>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</si>
  <si>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</si>
  <si>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</si>
  <si>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</si>
  <si>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</si>
  <si>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</si>
  <si>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</si>
  <si>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</si>
  <si>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</si>
  <si>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</si>
  <si>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</si>
  <si>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</si>
  <si>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</si>
  <si>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</si>
  <si>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</si>
  <si>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</si>
  <si>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</si>
  <si>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</si>
  <si>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</si>
  <si>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</si>
  <si>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</si>
  <si>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</si>
  <si>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</si>
  <si>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</si>
  <si>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</si>
  <si>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</si>
  <si>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</si>
  <si>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</si>
  <si>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</si>
  <si>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</si>
  <si>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</si>
  <si>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</si>
  <si>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</si>
  <si>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</si>
  <si>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</si>
  <si>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</si>
  <si>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</si>
  <si>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</si>
  <si>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</si>
  <si>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</si>
  <si>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</si>
  <si>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</si>
  <si>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</si>
  <si>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</si>
  <si>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</si>
  <si>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</si>
  <si>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</si>
  <si>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</si>
  <si>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</si>
  <si>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</si>
  <si>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</si>
  <si>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</si>
  <si>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</si>
  <si>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</si>
  <si>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</si>
  <si>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</si>
  <si>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</si>
  <si>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</si>
  <si>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</si>
  <si>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</si>
  <si>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</si>
  <si>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</si>
  <si>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</si>
  <si>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</si>
  <si>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</si>
  <si>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</si>
  <si>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</si>
  <si>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</si>
  <si>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</si>
  <si>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Other farmers</t>
  </si>
  <si>
    <t>Yes only manure</t>
  </si>
  <si>
    <t>Yes</t>
  </si>
  <si>
    <t>Yes without the use of a pump</t>
  </si>
  <si>
    <t>March</t>
  </si>
  <si>
    <t>Onions</t>
  </si>
  <si>
    <t>Shop_certified variety</t>
  </si>
  <si>
    <t>No</t>
  </si>
  <si>
    <t>Mangoes</t>
  </si>
  <si>
    <t>Home recycled</t>
  </si>
  <si>
    <t>February</t>
  </si>
  <si>
    <t>Other crops</t>
  </si>
  <si>
    <t>french beans</t>
  </si>
  <si>
    <t>Yes both manure and inorganic</t>
  </si>
  <si>
    <t>January</t>
  </si>
  <si>
    <t>Maize</t>
  </si>
  <si>
    <t>Shop_common variety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</si>
  <si>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</si>
  <si>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</si>
  <si>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</si>
  <si>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</si>
  <si>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</si>
  <si>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</si>
  <si>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</si>
  <si>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</si>
  <si>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</si>
  <si>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</si>
  <si>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</si>
  <si>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</si>
  <si>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</si>
  <si>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</si>
  <si>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</si>
  <si>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</si>
  <si>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</si>
  <si>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Goat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</si>
  <si>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</si>
  <si>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</si>
  <si>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</si>
  <si>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</si>
  <si>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</si>
  <si>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pension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</si>
  <si>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</si>
  <si>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</si>
  <si>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</si>
  <si>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</si>
  <si>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</si>
  <si>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</si>
  <si>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</si>
  <si>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</si>
  <si>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</si>
  <si>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</si>
  <si>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</si>
  <si>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</si>
  <si>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</si>
  <si>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</si>
  <si>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</si>
  <si>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</si>
  <si>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</si>
  <si>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</si>
  <si>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</si>
  <si>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</si>
  <si>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</si>
  <si>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</si>
  <si>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</si>
  <si>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</si>
  <si>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</si>
  <si>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</si>
  <si>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</si>
  <si>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5/14/2015</t>
  </si>
  <si>
    <t>cooperative</t>
  </si>
  <si>
    <t>6/13/2013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</si>
  <si>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</si>
  <si>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</si>
  <si>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</si>
  <si>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</si>
  <si>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</si>
  <si>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</si>
  <si>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</si>
  <si>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</si>
  <si>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</si>
  <si>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</si>
  <si>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2017/2/23</t>
  </si>
  <si>
    <t>Loan terms</t>
  </si>
  <si>
    <t>Expected disbursement date</t>
  </si>
  <si>
    <t>Expected first repayment date</t>
  </si>
  <si>
    <t>2017/3/1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</si>
  <si>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</si>
  <si>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</si>
  <si>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</si>
  <si>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</si>
  <si>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</si>
  <si>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</si>
  <si>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</si>
  <si>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</si>
  <si>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</si>
  <si>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</si>
  <si>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</si>
  <si>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</si>
  <si>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</si>
  <si>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</si>
  <si>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</si>
  <si>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</si>
  <si>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</si>
  <si>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</si>
  <si>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</si>
  <si>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</si>
  <si>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</si>
  <si>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</si>
  <si>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</si>
  <si>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</si>
  <si>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</si>
  <si>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</si>
  <si>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</si>
  <si>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</si>
  <si>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</si>
  <si>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</si>
  <si>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</si>
  <si>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</si>
  <si>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</si>
  <si>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</si>
  <si>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</si>
  <si>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</si>
  <si>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</si>
  <si>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</si>
  <si>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</si>
  <si>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</si>
  <si>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</si>
  <si>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</si>
  <si>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</si>
  <si>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</si>
  <si>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</si>
  <si>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</si>
  <si>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</si>
  <si>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</si>
  <si>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</si>
  <si>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</si>
  <si>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</si>
  <si>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</si>
  <si>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</si>
  <si>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</si>
  <si>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</si>
  <si>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</si>
  <si>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</si>
  <si>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</si>
  <si>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</si>
  <si>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</si>
  <si>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</si>
  <si>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</si>
  <si>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</si>
  <si>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</si>
  <si>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</si>
  <si>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</si>
  <si>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</si>
  <si>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</si>
  <si>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</si>
  <si>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</si>
  <si>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</si>
  <si>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</si>
  <si>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</si>
  <si>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</si>
  <si>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</si>
  <si>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</si>
  <si>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</si>
  <si>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</si>
  <si>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</si>
  <si>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</si>
  <si>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</si>
  <si>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</si>
  <si>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</si>
  <si>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</si>
  <si>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</si>
  <si>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</si>
  <si>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</si>
  <si>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</si>
  <si>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</si>
  <si>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</si>
  <si>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</si>
  <si>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</si>
  <si>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</si>
  <si>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</si>
  <si>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</si>
  <si>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</si>
  <si>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</si>
  <si>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</si>
  <si>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</si>
  <si>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</si>
  <si>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</si>
  <si>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</si>
  <si>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</si>
  <si>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</si>
  <si>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</si>
  <si>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</si>
  <si>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</si>
  <si>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</si>
  <si>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</si>
  <si>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</si>
  <si>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</si>
  <si>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</si>
  <si>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</si>
  <si>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</si>
  <si>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</si>
  <si>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</si>
  <si>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</si>
  <si>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</si>
  <si>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</si>
  <si>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</si>
  <si>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</si>
  <si>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</si>
  <si>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</si>
  <si>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</si>
  <si>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</si>
  <si>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</si>
  <si>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</si>
  <si>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</si>
  <si>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</si>
  <si>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</si>
  <si>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</si>
  <si>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</si>
  <si>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</si>
  <si>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</si>
  <si>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</si>
  <si>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</si>
  <si>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</si>
  <si>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</si>
  <si>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</si>
  <si>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</si>
  <si>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</si>
  <si>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</si>
  <si>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</si>
  <si>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</si>
  <si>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</si>
  <si>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</si>
  <si>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</si>
  <si>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</si>
  <si>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</si>
  <si>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</si>
  <si>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</si>
  <si>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</si>
  <si>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</si>
  <si>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</si>
  <si>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</si>
  <si>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</si>
  <si>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</si>
  <si>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</si>
  <si>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</si>
  <si>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</si>
  <si>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</si>
  <si>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</si>
  <si>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</si>
  <si>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</si>
  <si>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</si>
  <si>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</si>
  <si>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</si>
  <si>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</si>
  <si>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</si>
  <si>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</si>
  <si>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</si>
  <si>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</si>
  <si>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</si>
  <si>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</si>
  <si>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</si>
  <si>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</si>
  <si>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</si>
  <si>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</si>
  <si>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</si>
  <si>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</si>
  <si>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</si>
  <si>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</si>
  <si>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</si>
  <si>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using a diesel pump</t>
  </si>
  <si>
    <t>Weeks</t>
  </si>
  <si>
    <t>Yes inorganic fertilizers</t>
  </si>
  <si>
    <t>Yes using a solar pump</t>
  </si>
  <si>
    <t>Always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</si>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</sst>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Mangoes, french beans, Maize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Goat, Chicken: sale of ex layers</v>
      </c>
    </row>
    <row r="8" spans="1:7">
      <c r="B8" s="1" t="s">
        <v>4</v>
      </c>
      <c r="C8" t="str">
        <f>IF(Inputs!B29="","None",Inputs!B29)</f>
        <v>pension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0.1424440675593755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0.03125244159699977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18384.61538461538</v>
      </c>
    </row>
    <row r="17" spans="1:7">
      <c r="B17" s="1" t="s">
        <v>11</v>
      </c>
      <c r="C17" s="36">
        <f>SUM(Output!B6:M6)</f>
        <v>980617.864290981</v>
      </c>
    </row>
    <row r="18" spans="1:7">
      <c r="B18" s="1" t="s">
        <v>12</v>
      </c>
      <c r="C18" s="36">
        <f>MIN(Output!B6:M6)</f>
        <v>-6128.16382831191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269879.6583931795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155000</v>
      </c>
    </row>
    <row r="25" spans="1:7">
      <c r="B25" s="1" t="s">
        <v>18</v>
      </c>
      <c r="C25" s="36">
        <f>MAX(Inputs!A56:A60)</f>
        <v>160000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103598.2602840015</v>
      </c>
      <c r="C6" s="51">
        <f>C30-C88</f>
        <v>105937.5189872986</v>
      </c>
      <c r="D6" s="51">
        <f>D30-D88</f>
        <v>11756.48893681787</v>
      </c>
      <c r="E6" s="51">
        <f>E30-E88</f>
        <v>-6128.16382831191</v>
      </c>
      <c r="F6" s="51">
        <f>F30-F88</f>
        <v>261818.3001427193</v>
      </c>
      <c r="G6" s="51">
        <f>G30-G88</f>
        <v>7246.836171688083</v>
      </c>
      <c r="H6" s="51">
        <f>H30-H88</f>
        <v>106933.9390116821</v>
      </c>
      <c r="I6" s="51">
        <f>I30-I88</f>
        <v>101030.6052696272</v>
      </c>
      <c r="J6" s="51">
        <f>J30-J88</f>
        <v>12106.9827737944</v>
      </c>
      <c r="K6" s="51">
        <f>K30-K88</f>
        <v>-2973.719295523129</v>
      </c>
      <c r="L6" s="51">
        <f>L30-L88</f>
        <v>269879.6583931795</v>
      </c>
      <c r="M6" s="51">
        <f>M30-M88</f>
        <v>9411.157444007491</v>
      </c>
      <c r="N6" s="51">
        <f>N30-N88</f>
        <v>103598.2602840015</v>
      </c>
      <c r="O6" s="51">
        <f>O30-O88</f>
        <v>105937.5189872986</v>
      </c>
      <c r="P6" s="51">
        <f>P30-P88</f>
        <v>11756.48893681787</v>
      </c>
      <c r="Q6" s="51">
        <f>Q30-Q88</f>
        <v>-6128.16382831191</v>
      </c>
      <c r="R6" s="51">
        <f>R30-R88</f>
        <v>261818.3001427193</v>
      </c>
      <c r="S6" s="51">
        <f>S30-S88</f>
        <v>18621.83617168808</v>
      </c>
      <c r="T6" s="51">
        <f>T30-T88</f>
        <v>106933.9390116821</v>
      </c>
      <c r="U6" s="51">
        <f>U30-U88</f>
        <v>101030.6052696272</v>
      </c>
      <c r="V6" s="51">
        <f>V30-V88</f>
        <v>12106.9827737944</v>
      </c>
      <c r="W6" s="51">
        <f>W30-W88</f>
        <v>-2973.719295523129</v>
      </c>
      <c r="X6" s="51">
        <f>X30-X88</f>
        <v>269879.6583931795</v>
      </c>
      <c r="Y6" s="51">
        <f>Y30-Y88</f>
        <v>9411.157444007491</v>
      </c>
      <c r="Z6" s="51">
        <f>SUMIF($B$13:$Y$13,"Yes",B6:Y6)</f>
        <v>1583156.043996877</v>
      </c>
      <c r="AA6" s="51">
        <f>AA30-AA88</f>
        <v>980617.8642909805</v>
      </c>
      <c r="AB6" s="51">
        <f>AB30-AB88</f>
        <v>1972610.728581963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16968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39470</v>
      </c>
      <c r="J7" s="80">
        <f>IF(ISERROR(VLOOKUP(MONTH(J5),Inputs!$D$66:$D$71,1,0)),"",INDEX(Inputs!$B$66:$B$71,MATCH(MONTH(Output!J5),Inputs!$D$66:$D$71,0))-INDEX(Inputs!$C$66:$C$71,MATCH(MONTH(Output!J5),Inputs!$D$66:$D$71,0)))</f>
        <v>5375</v>
      </c>
      <c r="K7" s="80">
        <f>IF(ISERROR(VLOOKUP(MONTH(K5),Inputs!$D$66:$D$71,1,0)),"",INDEX(Inputs!$B$66:$B$71,MATCH(MONTH(Output!K5),Inputs!$D$66:$D$71,0))-INDEX(Inputs!$C$66:$C$71,MATCH(MONTH(Output!K5),Inputs!$D$66:$D$71,0)))</f>
        <v>18596</v>
      </c>
      <c r="L7" s="80">
        <f>IF(ISERROR(VLOOKUP(MONTH(L5),Inputs!$D$66:$D$71,1,0)),"",INDEX(Inputs!$B$66:$B$71,MATCH(MONTH(Output!L5),Inputs!$D$66:$D$71,0))-INDEX(Inputs!$C$66:$C$71,MATCH(MONTH(Output!L5),Inputs!$D$66:$D$71,0)))</f>
        <v>-1273</v>
      </c>
      <c r="M7" s="80">
        <f>IF(ISERROR(VLOOKUP(MONTH(M5),Inputs!$D$66:$D$71,1,0)),"",INDEX(Inputs!$B$66:$B$71,MATCH(MONTH(Output!M5),Inputs!$D$66:$D$71,0))-INDEX(Inputs!$C$66:$C$71,MATCH(MONTH(Output!M5),Inputs!$D$66:$D$71,0)))</f>
        <v>19570</v>
      </c>
      <c r="N7" s="80">
        <f>IF(ISERROR(VLOOKUP(MONTH(N5),Inputs!$D$66:$D$71,1,0)),"",INDEX(Inputs!$B$66:$B$71,MATCH(MONTH(Output!N5),Inputs!$D$66:$D$71,0))-INDEX(Inputs!$C$66:$C$71,MATCH(MONTH(Output!N5),Inputs!$D$66:$D$71,0)))</f>
        <v>16968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39470</v>
      </c>
      <c r="V7" s="80">
        <f>IF(ISERROR(VLOOKUP(MONTH(V5),Inputs!$D$66:$D$71,1,0)),"",INDEX(Inputs!$B$66:$B$71,MATCH(MONTH(Output!V5),Inputs!$D$66:$D$71,0))-INDEX(Inputs!$C$66:$C$71,MATCH(MONTH(Output!V5),Inputs!$D$66:$D$71,0)))</f>
        <v>5375</v>
      </c>
      <c r="W7" s="80">
        <f>IF(ISERROR(VLOOKUP(MONTH(W5),Inputs!$D$66:$D$71,1,0)),"",INDEX(Inputs!$B$66:$B$71,MATCH(MONTH(Output!W5),Inputs!$D$66:$D$71,0))-INDEX(Inputs!$C$66:$C$71,MATCH(MONTH(Output!W5),Inputs!$D$66:$D$71,0)))</f>
        <v>18596</v>
      </c>
      <c r="X7" s="80">
        <f>IF(ISERROR(VLOOKUP(MONTH(X5),Inputs!$D$66:$D$71,1,0)),"",INDEX(Inputs!$B$66:$B$71,MATCH(MONTH(Output!X5),Inputs!$D$66:$D$71,0))-INDEX(Inputs!$C$66:$C$71,MATCH(MONTH(Output!X5),Inputs!$D$66:$D$71,0)))</f>
        <v>-1273</v>
      </c>
      <c r="Y7" s="80">
        <f>IF(ISERROR(VLOOKUP(MONTH(Y5),Inputs!$D$66:$D$71,1,0)),"",INDEX(Inputs!$B$66:$B$71,MATCH(MONTH(Output!Y5),Inputs!$D$66:$D$71,0))-INDEX(Inputs!$C$66:$C$71,MATCH(MONTH(Output!Y5),Inputs!$D$66:$D$71,0)))</f>
        <v>19570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18384.61538461538</v>
      </c>
      <c r="I10" s="37">
        <f>SUMPRODUCT((Calculations!$D$33:$D$84=Output!I5)+0,Calculations!$C$33:$C$84)</f>
        <v>18384.61538461538</v>
      </c>
      <c r="J10" s="37">
        <f>SUMPRODUCT((Calculations!$D$33:$D$84=Output!J5)+0,Calculations!$C$33:$C$84)</f>
        <v>18384.61538461538</v>
      </c>
      <c r="K10" s="37">
        <f>SUMPRODUCT((Calculations!$D$33:$D$84=Output!K5)+0,Calculations!$C$33:$C$84)</f>
        <v>18384.61538461538</v>
      </c>
      <c r="L10" s="37">
        <f>SUMPRODUCT((Calculations!$D$33:$D$84=Output!L5)+0,Calculations!$C$33:$C$84)</f>
        <v>18384.61538461538</v>
      </c>
      <c r="M10" s="37">
        <f>SUMPRODUCT((Calculations!$D$33:$D$84=Output!M5)+0,Calculations!$C$33:$C$84)</f>
        <v>18384.61538461538</v>
      </c>
      <c r="N10" s="37">
        <f>SUMPRODUCT((Calculations!$D$33:$D$84=Output!N5)+0,Calculations!$C$33:$C$84)</f>
        <v>18384.61538461538</v>
      </c>
      <c r="O10" s="37">
        <f>SUMPRODUCT((Calculations!$D$33:$D$84=Output!O5)+0,Calculations!$C$33:$C$84)</f>
        <v>18384.61538461538</v>
      </c>
      <c r="P10" s="37">
        <f>SUMPRODUCT((Calculations!$D$33:$D$84=Output!P5)+0,Calculations!$C$33:$C$84)</f>
        <v>18384.61538461538</v>
      </c>
      <c r="Q10" s="37">
        <f>SUMPRODUCT((Calculations!$D$33:$D$84=Output!Q5)+0,Calculations!$C$33:$C$84)</f>
        <v>18384.61538461538</v>
      </c>
      <c r="R10" s="37">
        <f>SUMPRODUCT((Calculations!$D$33:$D$84=Output!R5)+0,Calculations!$C$33:$C$84)</f>
        <v>18384.61538461538</v>
      </c>
      <c r="S10" s="37">
        <f>SUMPRODUCT((Calculations!$D$33:$D$84=Output!S5)+0,Calculations!$C$33:$C$84)</f>
        <v>18384.61538461538</v>
      </c>
      <c r="T10" s="37">
        <f>SUMPRODUCT((Calculations!$D$33:$D$84=Output!T5)+0,Calculations!$C$33:$C$84)</f>
        <v>18384.61538461538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253999.9999999999</v>
      </c>
      <c r="AA10" s="37">
        <f>SUM(B10:M10)</f>
        <v>125307.6923076923</v>
      </c>
      <c r="AB10" s="37">
        <f>SUM(B10:Y10)</f>
        <v>253999.9999999999</v>
      </c>
    </row>
    <row r="11" spans="1:30" customHeight="1" ht="15.75">
      <c r="A11" s="43" t="s">
        <v>31</v>
      </c>
      <c r="B11" s="80">
        <f>B6+B9-B10</f>
        <v>303598.2602840015</v>
      </c>
      <c r="C11" s="80">
        <f>C6+C9-C10</f>
        <v>102937.5189872986</v>
      </c>
      <c r="D11" s="80">
        <f>D6+D9-D10</f>
        <v>8756.48893681787</v>
      </c>
      <c r="E11" s="80">
        <f>E6+E9-E10</f>
        <v>-9128.16382831191</v>
      </c>
      <c r="F11" s="80">
        <f>F6+F9-F10</f>
        <v>258818.3001427193</v>
      </c>
      <c r="G11" s="80">
        <f>G6+G9-G10</f>
        <v>4246.836171688083</v>
      </c>
      <c r="H11" s="80">
        <f>H6+H9-H10</f>
        <v>88549.32362706668</v>
      </c>
      <c r="I11" s="80">
        <f>I6+I9-I10</f>
        <v>82645.98988501183</v>
      </c>
      <c r="J11" s="80">
        <f>J6+J9-J10</f>
        <v>-6277.632610820983</v>
      </c>
      <c r="K11" s="80">
        <f>K6+K9-K10</f>
        <v>-21358.33468013851</v>
      </c>
      <c r="L11" s="80">
        <f>L6+L9-L10</f>
        <v>251495.0430085642</v>
      </c>
      <c r="M11" s="80">
        <f>M6+M9-M10</f>
        <v>-8973.457940607892</v>
      </c>
      <c r="N11" s="80">
        <f>N6+N9-N10</f>
        <v>85213.6448993861</v>
      </c>
      <c r="O11" s="80">
        <f>O6+O9-O10</f>
        <v>87552.90360268325</v>
      </c>
      <c r="P11" s="80">
        <f>P6+P9-P10</f>
        <v>-6628.126447797513</v>
      </c>
      <c r="Q11" s="80">
        <f>Q6+Q9-Q10</f>
        <v>-24512.77921292729</v>
      </c>
      <c r="R11" s="80">
        <f>R6+R9-R10</f>
        <v>243433.6847581039</v>
      </c>
      <c r="S11" s="80">
        <f>S6+S9-S10</f>
        <v>237.2207870726997</v>
      </c>
      <c r="T11" s="80">
        <f>T6+T9-T10</f>
        <v>88549.32362706668</v>
      </c>
      <c r="U11" s="80">
        <f>U6+U9-U10</f>
        <v>101030.6052696272</v>
      </c>
      <c r="V11" s="80">
        <f>V6+V9-V10</f>
        <v>12106.9827737944</v>
      </c>
      <c r="W11" s="80">
        <f>W6+W9-W10</f>
        <v>-2973.719295523129</v>
      </c>
      <c r="X11" s="80">
        <f>X6+X9-X10</f>
        <v>269879.6583931795</v>
      </c>
      <c r="Y11" s="80">
        <f>Y6+Y9-Y10</f>
        <v>9411.157444007491</v>
      </c>
      <c r="Z11" s="85">
        <f>SUMIF($B$13:$Y$13,"Yes",B11:Y11)</f>
        <v>1529156.043996877</v>
      </c>
      <c r="AA11" s="80">
        <f>SUM(B11:M11)</f>
        <v>1055310.171983289</v>
      </c>
      <c r="AB11" s="46">
        <f>SUM(B11:Y11)</f>
        <v>1918610.728581962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0.007325367286194126</v>
      </c>
      <c r="D12" s="82">
        <f>IF(D13="Yes",IF(SUM($B$10:D10)/(SUM($B$6:D6)+SUM($B$9:D9))&lt;0,999.99,SUM($B$10:D10)/(SUM($B$6:D6)+SUM($B$9:D9))),"")</f>
        <v>0.01424189441102205</v>
      </c>
      <c r="E12" s="82">
        <f>IF(E13="Yes",IF(SUM($B$10:E10)/(SUM($B$6:E6)+SUM($B$9:E9))&lt;0,999.99,SUM($B$10:E10)/(SUM($B$6:E6)+SUM($B$9:E9))),"")</f>
        <v>0.02167817473874499</v>
      </c>
      <c r="F12" s="82">
        <f>IF(F13="Yes",IF(SUM($B$10:F10)/(SUM($B$6:F6)+SUM($B$9:F9))&lt;0,999.99,SUM($B$10:F10)/(SUM($B$6:F6)+SUM($B$9:F9))),"")</f>
        <v>0.01772571919127438</v>
      </c>
      <c r="G12" s="82">
        <f>IF(G13="Yes",IF(SUM($B$10:G10)/(SUM($B$6:G6)+SUM($B$9:G9))&lt;0,999.99,SUM($B$10:G10)/(SUM($B$6:G6)+SUM($B$9:G9))),"")</f>
        <v>0.02192247730421623</v>
      </c>
      <c r="H12" s="82">
        <f>IF(H13="Yes",IF(SUM($B$10:H10)/(SUM($B$6:H6)+SUM($B$9:H9))&lt;0,999.99,SUM($B$10:H10)/(SUM($B$6:H6)+SUM($B$9:H9))),"")</f>
        <v>0.0421968770045968</v>
      </c>
      <c r="I12" s="82">
        <f>IF(I13="Yes",IF(SUM($B$10:I10)/(SUM($B$6:I6)+SUM($B$9:I9))&lt;0,999.99,SUM($B$10:I10)/(SUM($B$6:I6)+SUM($B$9:I9))),"")</f>
        <v>0.05802464850240024</v>
      </c>
      <c r="J12" s="82">
        <f>IF(J13="Yes",IF(SUM($B$10:J10)/(SUM($B$6:J6)+SUM($B$9:J9))&lt;0,999.99,SUM($B$10:J10)/(SUM($B$6:J6)+SUM($B$9:J9))),"")</f>
        <v>0.0775780013196822</v>
      </c>
      <c r="K12" s="82">
        <f>IF(K13="Yes",IF(SUM($B$10:K10)/(SUM($B$6:K6)+SUM($B$9:K9))&lt;0,999.99,SUM($B$10:K10)/(SUM($B$6:K6)+SUM($B$9:K9))),"")</f>
        <v>0.0982312266012068</v>
      </c>
      <c r="L12" s="82">
        <f>IF(L13="Yes",IF(SUM($B$10:L10)/(SUM($B$6:L6)+SUM($B$9:L9))&lt;0,999.99,SUM($B$10:L10)/(SUM($B$6:L6)+SUM($B$9:L9))),"")</f>
        <v>0.09129308797328052</v>
      </c>
      <c r="M12" s="82">
        <f>IF(M13="Yes",IF(SUM($B$10:M10)/(SUM($B$6:M6)+SUM($B$9:M9))&lt;0,999.99,SUM($B$10:M10)/(SUM($B$6:M6)+SUM($B$9:M9))),"")</f>
        <v>0.1061373845828986</v>
      </c>
      <c r="N12" s="82">
        <f>IF(N13="Yes",IF(SUM($B$10:N10)/(SUM($B$6:N6)+SUM($B$9:N9))&lt;0,999.99,SUM($B$10:N10)/(SUM($B$6:N6)+SUM($B$9:N9))),"")</f>
        <v>0.1118910633051452</v>
      </c>
      <c r="O12" s="82">
        <f>IF(O13="Yes",IF(SUM($B$10:O10)/(SUM($B$6:O6)+SUM($B$9:O9))&lt;0,999.99,SUM($B$10:O10)/(SUM($B$6:O6)+SUM($B$9:O9))),"")</f>
        <v>0.1165892157514327</v>
      </c>
      <c r="P12" s="82">
        <f>IF(P13="Yes",IF(SUM($B$10:P10)/(SUM($B$6:P6)+SUM($B$9:P9))&lt;0,999.99,SUM($B$10:P10)/(SUM($B$6:P6)+SUM($B$9:P9))),"")</f>
        <v>0.1287254684006318</v>
      </c>
      <c r="Q12" s="82">
        <f>IF(Q13="Yes",IF(SUM($B$10:Q10)/(SUM($B$6:Q6)+SUM($B$9:Q9))&lt;0,999.99,SUM($B$10:Q10)/(SUM($B$6:Q6)+SUM($B$9:Q9))),"")</f>
        <v>0.1424621884430248</v>
      </c>
      <c r="R12" s="82">
        <f>IF(R13="Yes",IF(SUM($B$10:R10)/(SUM($B$6:R6)+SUM($B$9:R9))&lt;0,999.99,SUM($B$10:R10)/(SUM($B$6:R6)+SUM($B$9:R9))),"")</f>
        <v>0.1310513597987413</v>
      </c>
      <c r="S12" s="82">
        <f>IF(S13="Yes",IF(SUM($B$10:S10)/(SUM($B$6:S6)+SUM($B$9:S9))&lt;0,999.99,SUM($B$10:S10)/(SUM($B$6:S6)+SUM($B$9:S9))),"")</f>
        <v>0.1405633441503062</v>
      </c>
      <c r="T12" s="82">
        <f>IF(T13="Yes",IF(SUM($B$10:T10)/(SUM($B$6:T6)+SUM($B$9:T9))&lt;0,999.99,SUM($B$10:T10)/(SUM($B$6:T6)+SUM($B$9:T9))),"")</f>
        <v>0.1424440675593755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261546.4639710312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261546.4639710312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261546.4639710312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261546.4639710312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784639.3919130937</v>
      </c>
      <c r="AA18" s="36">
        <f>SUM(B18:M18)</f>
        <v>523092.9279420625</v>
      </c>
      <c r="AB18" s="36">
        <f>SUM(B18:Y18)</f>
        <v>1046185.855884125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92545.56408653209</v>
      </c>
      <c r="C19" s="36">
        <f>O19</f>
        <v>92545.56408653209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92545.56408653209</v>
      </c>
      <c r="I19" s="36">
        <f>U19</f>
        <v>92545.56408653209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92545.56408653209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92545.56408653209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92545.56408653209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92545.56408653209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647818.9486057246</v>
      </c>
      <c r="AA19" s="36">
        <f>SUM(B19:M19)</f>
        <v>370182.2563461284</v>
      </c>
      <c r="AB19" s="36">
        <f>SUM(B19:Y19)</f>
        <v>740364.5126922567</v>
      </c>
      <c r="AC19" s="43"/>
      <c r="AD19" s="43"/>
    </row>
    <row r="20" spans="1:30">
      <c r="A20" t="str">
        <f>IF(Calculations!A6&lt;&gt;Parameters!$A$18,IF(Calculations!A6=0,"",Calculations!A6),Inputs!B9)</f>
        <v>Mangoes</v>
      </c>
      <c r="B20" s="36">
        <f>N20</f>
        <v>10514.81510929592</v>
      </c>
      <c r="C20" s="36">
        <f>O20</f>
        <v>6308.88906557755</v>
      </c>
      <c r="D20" s="36">
        <f>P20</f>
        <v>1752.469184882653</v>
      </c>
      <c r="E20" s="36">
        <f>Q20</f>
        <v>350.4938369765306</v>
      </c>
      <c r="F20" s="36">
        <f>R20</f>
        <v>350.4938369765306</v>
      </c>
      <c r="G20" s="36">
        <f>S20</f>
        <v>350.4938369765306</v>
      </c>
      <c r="H20" s="36">
        <f>T20</f>
        <v>350.4938369765306</v>
      </c>
      <c r="I20" s="36">
        <f>U20</f>
        <v>1401.975347906122</v>
      </c>
      <c r="J20" s="36">
        <f>V20</f>
        <v>2102.963021859184</v>
      </c>
      <c r="K20" s="36">
        <f>W20</f>
        <v>3504.938369765307</v>
      </c>
      <c r="L20" s="36">
        <f>X20</f>
        <v>8411.852087436735</v>
      </c>
      <c r="M20" s="36">
        <f>Y20</f>
        <v>10514.81510929592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10514.81510929592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6308.88906557755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1752.469184882653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350.4938369765306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350.4938369765306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350.4938369765306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350.4938369765306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1401.975347906122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2102.963021859184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3504.938369765307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8411.852087436735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10514.81510929592</v>
      </c>
      <c r="Z20" s="36">
        <f>SUMIF($B$13:$Y$13,"Yes",B20:Y20)</f>
        <v>65892.84135158775</v>
      </c>
      <c r="AA20" s="36">
        <f>SUM(B20:M20)</f>
        <v>45914.6926439255</v>
      </c>
      <c r="AB20" s="36">
        <f>SUM(B20:Y20)</f>
        <v>91829.38528785101</v>
      </c>
    </row>
    <row r="21" spans="1:30">
      <c r="A21" t="str">
        <f>IF(Calculations!A7&lt;&gt;Parameters!$A$18,IF(Calculations!A7=0,"",Calculations!A7),Inputs!B10)</f>
        <v>french beans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 t="str">
        <f>IF(Calculations!A8&lt;&gt;Parameters!$A$18,IF(Calculations!A8=0,"",Calculations!A8),Inputs!B11)</f>
        <v>Maize</v>
      </c>
      <c r="B22" s="36">
        <f>N22</f>
        <v>8634.769583731199</v>
      </c>
      <c r="C22" s="36">
        <f>O22</f>
        <v>10361.72350047744</v>
      </c>
      <c r="D22" s="36">
        <f>P22</f>
        <v>12088.67741722368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8634.769583731199</v>
      </c>
      <c r="I22" s="36">
        <f>U22</f>
        <v>10361.72350047744</v>
      </c>
      <c r="J22" s="36">
        <f>V22</f>
        <v>12088.67741722368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8634.769583731199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10361.72350047744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12088.67741722368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8634.769583731199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10361.72350047744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12088.67741722368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101890.2810880282</v>
      </c>
      <c r="AA22" s="36">
        <f>SUM(B22:M22)</f>
        <v>62170.34100286463</v>
      </c>
      <c r="AB22" s="46">
        <f>SUM(B22:Y22)</f>
        <v>124340.6820057293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35405.26315789474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3329.824561403508</v>
      </c>
      <c r="C24" s="36">
        <f>IFERROR(Calculations!$P14/12,"")</f>
        <v>3329.824561403508</v>
      </c>
      <c r="D24" s="36">
        <f>IFERROR(Calculations!$P14/12,"")</f>
        <v>3329.824561403508</v>
      </c>
      <c r="E24" s="36">
        <f>IFERROR(Calculations!$P14/12,"")</f>
        <v>3329.824561403508</v>
      </c>
      <c r="F24" s="36">
        <f>IFERROR(Calculations!$P14/12,"")</f>
        <v>3329.824561403508</v>
      </c>
      <c r="G24" s="36">
        <f>IFERROR(Calculations!$P14/12,"")</f>
        <v>3329.824561403508</v>
      </c>
      <c r="H24" s="36">
        <f>IFERROR(Calculations!$P14/12,"")</f>
        <v>3329.824561403508</v>
      </c>
      <c r="I24" s="36">
        <f>IFERROR(Calculations!$P14/12,"")</f>
        <v>3329.824561403508</v>
      </c>
      <c r="J24" s="36">
        <f>IFERROR(Calculations!$P14/12,"")</f>
        <v>3329.824561403508</v>
      </c>
      <c r="K24" s="36">
        <f>IFERROR(Calculations!$P14/12,"")</f>
        <v>3329.824561403508</v>
      </c>
      <c r="L24" s="36">
        <f>IFERROR(Calculations!$P14/12,"")</f>
        <v>3329.824561403508</v>
      </c>
      <c r="M24" s="36">
        <f>IFERROR(Calculations!$P14/12,"")</f>
        <v>3329.824561403508</v>
      </c>
      <c r="N24" s="36">
        <f>IFERROR(Calculations!$P14/12,"")</f>
        <v>3329.824561403508</v>
      </c>
      <c r="O24" s="36">
        <f>IFERROR(Calculations!$P14/12,"")</f>
        <v>3329.824561403508</v>
      </c>
      <c r="P24" s="36">
        <f>IFERROR(Calculations!$P14/12,"")</f>
        <v>3329.824561403508</v>
      </c>
      <c r="Q24" s="36">
        <f>IFERROR(Calculations!$P14/12,"")</f>
        <v>3329.824561403508</v>
      </c>
      <c r="R24" s="36">
        <f>IFERROR(Calculations!$P14/12,"")</f>
        <v>3329.824561403508</v>
      </c>
      <c r="S24" s="36">
        <f>IFERROR(Calculations!$P14/12,"")</f>
        <v>3329.824561403508</v>
      </c>
      <c r="T24" s="36">
        <f>IFERROR(Calculations!$P14/12,"")</f>
        <v>3329.824561403508</v>
      </c>
      <c r="U24" s="36">
        <f>IFERROR(Calculations!$P14/12,"")</f>
        <v>3329.824561403508</v>
      </c>
      <c r="V24" s="36">
        <f>IFERROR(Calculations!$P14/12,"")</f>
        <v>3329.824561403508</v>
      </c>
      <c r="W24" s="36">
        <f>IFERROR(Calculations!$P14/12,"")</f>
        <v>3329.824561403508</v>
      </c>
      <c r="X24" s="36">
        <f>IFERROR(Calculations!$P14/12,"")</f>
        <v>3329.824561403508</v>
      </c>
      <c r="Y24" s="36">
        <f>IFERROR(Calculations!$P14/12,"")</f>
        <v>3329.824561403508</v>
      </c>
      <c r="Z24" s="36">
        <f>SUMIF($B$13:$Y$13,"Yes",B24:Y24)</f>
        <v>63266.66666666669</v>
      </c>
      <c r="AA24" s="36">
        <f>SUM(B24:M24)</f>
        <v>39957.89473684211</v>
      </c>
      <c r="AB24" s="46">
        <f>SUM(B24:Y24)</f>
        <v>79915.78947368424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13447.36842105263</v>
      </c>
      <c r="C25" s="36">
        <f>IFERROR(Calculations!$P15/12,"")</f>
        <v>13447.36842105263</v>
      </c>
      <c r="D25" s="36">
        <f>IFERROR(Calculations!$P15/12,"")</f>
        <v>13447.36842105263</v>
      </c>
      <c r="E25" s="36">
        <f>IFERROR(Calculations!$P15/12,"")</f>
        <v>13447.36842105263</v>
      </c>
      <c r="F25" s="36">
        <f>IFERROR(Calculations!$P15/12,"")</f>
        <v>13447.36842105263</v>
      </c>
      <c r="G25" s="36">
        <f>IFERROR(Calculations!$P15/12,"")</f>
        <v>13447.36842105263</v>
      </c>
      <c r="H25" s="36">
        <f>IFERROR(Calculations!$P15/12,"")</f>
        <v>13447.36842105263</v>
      </c>
      <c r="I25" s="36">
        <f>IFERROR(Calculations!$P15/12,"")</f>
        <v>13447.36842105263</v>
      </c>
      <c r="J25" s="36">
        <f>IFERROR(Calculations!$P15/12,"")</f>
        <v>13447.36842105263</v>
      </c>
      <c r="K25" s="36">
        <f>IFERROR(Calculations!$P15/12,"")</f>
        <v>13447.36842105263</v>
      </c>
      <c r="L25" s="36">
        <f>IFERROR(Calculations!$P15/12,"")</f>
        <v>13447.36842105263</v>
      </c>
      <c r="M25" s="36">
        <f>IFERROR(Calculations!$P15/12,"")</f>
        <v>13447.36842105263</v>
      </c>
      <c r="N25" s="36">
        <f>IFERROR(Calculations!$P15/12,"")</f>
        <v>13447.36842105263</v>
      </c>
      <c r="O25" s="36">
        <f>IFERROR(Calculations!$P15/12,"")</f>
        <v>13447.36842105263</v>
      </c>
      <c r="P25" s="36">
        <f>IFERROR(Calculations!$P15/12,"")</f>
        <v>13447.36842105263</v>
      </c>
      <c r="Q25" s="36">
        <f>IFERROR(Calculations!$P15/12,"")</f>
        <v>13447.36842105263</v>
      </c>
      <c r="R25" s="36">
        <f>IFERROR(Calculations!$P15/12,"")</f>
        <v>13447.36842105263</v>
      </c>
      <c r="S25" s="36">
        <f>IFERROR(Calculations!$P15/12,"")</f>
        <v>13447.36842105263</v>
      </c>
      <c r="T25" s="36">
        <f>IFERROR(Calculations!$P15/12,"")</f>
        <v>13447.36842105263</v>
      </c>
      <c r="U25" s="36">
        <f>IFERROR(Calculations!$P15/12,"")</f>
        <v>13447.36842105263</v>
      </c>
      <c r="V25" s="36">
        <f>IFERROR(Calculations!$P15/12,"")</f>
        <v>13447.36842105263</v>
      </c>
      <c r="W25" s="36">
        <f>IFERROR(Calculations!$P15/12,"")</f>
        <v>13447.36842105263</v>
      </c>
      <c r="X25" s="36">
        <f>IFERROR(Calculations!$P15/12,"")</f>
        <v>13447.36842105263</v>
      </c>
      <c r="Y25" s="36">
        <f>IFERROR(Calculations!$P15/12,"")</f>
        <v>13447.36842105263</v>
      </c>
      <c r="Z25" s="36">
        <f>SUMIF($B$13:$Y$13,"Yes",B25:Y25)</f>
        <v>255500.0000000001</v>
      </c>
      <c r="AA25" s="36">
        <f>SUM(B25:M25)</f>
        <v>161368.4210526316</v>
      </c>
      <c r="AB25" s="46">
        <f>SUM(B25:Y25)</f>
        <v>322736.8421052633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250</v>
      </c>
      <c r="C26" s="36">
        <f>IFERROR(Calculations!$P16/12,"")</f>
        <v>250</v>
      </c>
      <c r="D26" s="36">
        <f>IFERROR(Calculations!$P16/12,"")</f>
        <v>250</v>
      </c>
      <c r="E26" s="36">
        <f>IFERROR(Calculations!$P16/12,"")</f>
        <v>250</v>
      </c>
      <c r="F26" s="36">
        <f>IFERROR(Calculations!$P16/12,"")</f>
        <v>250</v>
      </c>
      <c r="G26" s="36">
        <f>IFERROR(Calculations!$P16/12,"")</f>
        <v>250</v>
      </c>
      <c r="H26" s="36">
        <f>IFERROR(Calculations!$P16/12,"")</f>
        <v>250</v>
      </c>
      <c r="I26" s="36">
        <f>IFERROR(Calculations!$P16/12,"")</f>
        <v>250</v>
      </c>
      <c r="J26" s="36">
        <f>IFERROR(Calculations!$P16/12,"")</f>
        <v>250</v>
      </c>
      <c r="K26" s="36">
        <f>IFERROR(Calculations!$P16/12,"")</f>
        <v>250</v>
      </c>
      <c r="L26" s="36">
        <f>IFERROR(Calculations!$P16/12,"")</f>
        <v>250</v>
      </c>
      <c r="M26" s="36">
        <f>IFERROR(Calculations!$P16/12,"")</f>
        <v>250</v>
      </c>
      <c r="N26" s="36">
        <f>IFERROR(Calculations!$P16/12,"")</f>
        <v>250</v>
      </c>
      <c r="O26" s="36">
        <f>IFERROR(Calculations!$P16/12,"")</f>
        <v>250</v>
      </c>
      <c r="P26" s="36">
        <f>IFERROR(Calculations!$P16/12,"")</f>
        <v>250</v>
      </c>
      <c r="Q26" s="36">
        <f>IFERROR(Calculations!$P16/12,"")</f>
        <v>250</v>
      </c>
      <c r="R26" s="36">
        <f>IFERROR(Calculations!$P16/12,"")</f>
        <v>250</v>
      </c>
      <c r="S26" s="36">
        <f>IFERROR(Calculations!$P16/12,"")</f>
        <v>250</v>
      </c>
      <c r="T26" s="36">
        <f>IFERROR(Calculations!$P16/12,"")</f>
        <v>250</v>
      </c>
      <c r="U26" s="36">
        <f>IFERROR(Calculations!$P16/12,"")</f>
        <v>250</v>
      </c>
      <c r="V26" s="36">
        <f>IFERROR(Calculations!$P16/12,"")</f>
        <v>250</v>
      </c>
      <c r="W26" s="36">
        <f>IFERROR(Calculations!$P16/12,"")</f>
        <v>250</v>
      </c>
      <c r="X26" s="36">
        <f>IFERROR(Calculations!$P16/12,"")</f>
        <v>250</v>
      </c>
      <c r="Y26" s="36">
        <f>IFERROR(Calculations!$P16/12,"")</f>
        <v>250</v>
      </c>
      <c r="Z26" s="36">
        <f>SUMIF($B$13:$Y$13,"Yes",B26:Y26)</f>
        <v>4750</v>
      </c>
      <c r="AA26" s="36">
        <f>SUM(B26:M26)</f>
        <v>3000</v>
      </c>
      <c r="AB26" s="46">
        <f>SUM(B26:Y26)</f>
        <v>6000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11375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11375</v>
      </c>
      <c r="AA27" s="36">
        <f>SUM(B27:M27)</f>
        <v>0</v>
      </c>
      <c r="AB27" s="46">
        <f>SUM(B27:Y27)</f>
        <v>11375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51000</v>
      </c>
      <c r="C29" s="37">
        <f>Inputs!$B$30</f>
        <v>51000</v>
      </c>
      <c r="D29" s="37">
        <f>Inputs!$B$30</f>
        <v>51000</v>
      </c>
      <c r="E29" s="37">
        <f>Inputs!$B$30</f>
        <v>51000</v>
      </c>
      <c r="F29" s="37">
        <f>Inputs!$B$30</f>
        <v>51000</v>
      </c>
      <c r="G29" s="37">
        <f>Inputs!$B$30</f>
        <v>51000</v>
      </c>
      <c r="H29" s="37">
        <f>Inputs!$B$30</f>
        <v>51000</v>
      </c>
      <c r="I29" s="37">
        <f>Inputs!$B$30</f>
        <v>51000</v>
      </c>
      <c r="J29" s="37">
        <f>Inputs!$B$30</f>
        <v>51000</v>
      </c>
      <c r="K29" s="37">
        <f>Inputs!$B$30</f>
        <v>51000</v>
      </c>
      <c r="L29" s="37">
        <f>Inputs!$B$30</f>
        <v>51000</v>
      </c>
      <c r="M29" s="37">
        <f>Inputs!$B$30</f>
        <v>51000</v>
      </c>
      <c r="N29" s="37">
        <f>Inputs!$B$30</f>
        <v>51000</v>
      </c>
      <c r="O29" s="37">
        <f>Inputs!$B$30</f>
        <v>51000</v>
      </c>
      <c r="P29" s="37">
        <f>Inputs!$B$30</f>
        <v>51000</v>
      </c>
      <c r="Q29" s="37">
        <f>Inputs!$B$30</f>
        <v>51000</v>
      </c>
      <c r="R29" s="37">
        <f>Inputs!$B$30</f>
        <v>51000</v>
      </c>
      <c r="S29" s="37">
        <f>Inputs!$B$30</f>
        <v>51000</v>
      </c>
      <c r="T29" s="37">
        <f>Inputs!$B$30</f>
        <v>51000</v>
      </c>
      <c r="U29" s="37">
        <f>Inputs!$B$30</f>
        <v>51000</v>
      </c>
      <c r="V29" s="37">
        <f>Inputs!$B$30</f>
        <v>51000</v>
      </c>
      <c r="W29" s="37">
        <f>Inputs!$B$30</f>
        <v>51000</v>
      </c>
      <c r="X29" s="37">
        <f>Inputs!$B$30</f>
        <v>51000</v>
      </c>
      <c r="Y29" s="37">
        <f>Inputs!$B$30</f>
        <v>51000</v>
      </c>
      <c r="Z29" s="37">
        <f>SUMIF($B$13:$Y$13,"Yes",B29:Y29)</f>
        <v>969000</v>
      </c>
      <c r="AA29" s="37">
        <f>SUM(B29:M29)</f>
        <v>612000</v>
      </c>
      <c r="AB29" s="37">
        <f>SUM(B29:Y29)</f>
        <v>1224000</v>
      </c>
    </row>
    <row r="30" spans="1:30" customHeight="1" ht="15.75">
      <c r="A30" s="1" t="s">
        <v>37</v>
      </c>
      <c r="B30" s="19">
        <f>SUM(B18:B29)</f>
        <v>179722.3417620154</v>
      </c>
      <c r="C30" s="19">
        <f>SUM(C18:C29)</f>
        <v>177243.3696350432</v>
      </c>
      <c r="D30" s="19">
        <f>SUM(D18:D29)</f>
        <v>81868.33958456246</v>
      </c>
      <c r="E30" s="19">
        <f>SUM(E18:E29)</f>
        <v>68377.68681943267</v>
      </c>
      <c r="F30" s="19">
        <f>SUM(F18:F29)</f>
        <v>329924.1507904639</v>
      </c>
      <c r="G30" s="19">
        <f>SUM(G18:G29)</f>
        <v>68377.68681943267</v>
      </c>
      <c r="H30" s="19">
        <f>SUM(H18:H29)</f>
        <v>169558.0204896959</v>
      </c>
      <c r="I30" s="19">
        <f>SUM(I18:I29)</f>
        <v>172336.4559173718</v>
      </c>
      <c r="J30" s="19">
        <f>SUM(J18:J29)</f>
        <v>82218.83342153899</v>
      </c>
      <c r="K30" s="19">
        <f>SUM(K18:K29)</f>
        <v>71532.13135222145</v>
      </c>
      <c r="L30" s="19">
        <f>SUM(L18:L29)</f>
        <v>337985.5090409241</v>
      </c>
      <c r="M30" s="19">
        <f>SUM(M18:M29)</f>
        <v>78542.00809175207</v>
      </c>
      <c r="N30" s="19">
        <f>SUM(N18:N29)</f>
        <v>179722.3417620154</v>
      </c>
      <c r="O30" s="19">
        <f>SUM(O18:O29)</f>
        <v>177243.3696350432</v>
      </c>
      <c r="P30" s="19">
        <f>SUM(P18:P29)</f>
        <v>81868.33958456246</v>
      </c>
      <c r="Q30" s="19">
        <f>SUM(Q18:Q29)</f>
        <v>68377.68681943267</v>
      </c>
      <c r="R30" s="19">
        <f>SUM(R18:R29)</f>
        <v>329924.1507904639</v>
      </c>
      <c r="S30" s="19">
        <f>SUM(S18:S29)</f>
        <v>79752.68681943267</v>
      </c>
      <c r="T30" s="19">
        <f>SUM(T18:T29)</f>
        <v>169558.0204896959</v>
      </c>
      <c r="U30" s="19">
        <f>SUM(U18:U29)</f>
        <v>172336.4559173718</v>
      </c>
      <c r="V30" s="19">
        <f>SUM(V18:V29)</f>
        <v>82218.83342153899</v>
      </c>
      <c r="W30" s="19">
        <f>SUM(W18:W29)</f>
        <v>71532.13135222145</v>
      </c>
      <c r="X30" s="19">
        <f>SUM(X18:X29)</f>
        <v>337985.5090409241</v>
      </c>
      <c r="Y30" s="19">
        <f>SUM(Y18:Y29)</f>
        <v>78542.00809175207</v>
      </c>
      <c r="Z30" s="19">
        <f>SUMIF($B$13:$Y$13,"Yes",B30:Y30)</f>
        <v>2904133.129625101</v>
      </c>
      <c r="AA30" s="19">
        <f>SUM(B30:M30)</f>
        <v>1817686.533724454</v>
      </c>
      <c r="AB30" s="19">
        <f>SUM(B30:Y30)</f>
        <v>3646748.067448909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8000</v>
      </c>
      <c r="N36" s="36">
        <f>SUM(N37:N41)</f>
        <v>0</v>
      </c>
      <c r="O36" s="36">
        <f>SUM(O37:O41)</f>
        <v>4000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8000</v>
      </c>
      <c r="Z36" s="36">
        <f>SUMIF($B$13:$Y$13,"Yes",B36:Y36)</f>
        <v>32000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Mangoes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8000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8000</v>
      </c>
      <c r="Z40" s="36">
        <f>SUMIF($B$13:$Y$13,"Yes",B40:Y40)</f>
        <v>8000</v>
      </c>
      <c r="AA40" s="36">
        <f>SUM(B40:M40)</f>
        <v>8000</v>
      </c>
      <c r="AB40" s="36">
        <f>SUM(B40:Y40)</f>
        <v>16000</v>
      </c>
      <c r="AC40" s="73"/>
    </row>
    <row r="41" spans="1:30" hidden="true" outlineLevel="1">
      <c r="A41" s="181" t="str">
        <f>Calculations!$A$8</f>
        <v>Maize</v>
      </c>
      <c r="B41" s="36">
        <f>N41</f>
        <v>0</v>
      </c>
      <c r="C41" s="36">
        <f>O41</f>
        <v>0</v>
      </c>
      <c r="D41" s="36">
        <f>P41</f>
        <v>4000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4000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4000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4000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12000</v>
      </c>
      <c r="AA41" s="36">
        <f>SUM(B41:M41)</f>
        <v>8000</v>
      </c>
      <c r="AB41" s="36">
        <f>SUM(B41:Y41)</f>
        <v>16000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3000</v>
      </c>
      <c r="D42" s="36">
        <f>P42</f>
        <v>606.0000000000001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3000</v>
      </c>
      <c r="J42" s="36">
        <f>V42</f>
        <v>606.0000000000001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3000</v>
      </c>
      <c r="P42" s="36">
        <f>SUM(P43:P47)</f>
        <v>606.0000000000001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3000</v>
      </c>
      <c r="V42" s="36">
        <f>SUM(V43:V47)</f>
        <v>606.0000000000001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10818</v>
      </c>
      <c r="AA42" s="36">
        <f>SUM(B42:M42)</f>
        <v>7212</v>
      </c>
      <c r="AB42" s="36">
        <f>SUM(B42:Y42)</f>
        <v>14424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1500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1500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1500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1500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4500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1500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1500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1500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4500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 t="str">
        <f>Calculations!$A$6</f>
        <v>Mangoes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Maize</v>
      </c>
      <c r="B47" s="36">
        <f>N47</f>
        <v>0</v>
      </c>
      <c r="C47" s="36">
        <f>O47</f>
        <v>0</v>
      </c>
      <c r="D47" s="36">
        <f>P47</f>
        <v>606.0000000000001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606.0000000000001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606.0000000000001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606.0000000000001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1818</v>
      </c>
      <c r="AA47" s="36">
        <f>SUM(B47:M47)</f>
        <v>1212</v>
      </c>
      <c r="AB47" s="36">
        <f>SUM(B47:Y47)</f>
        <v>2424</v>
      </c>
    </row>
    <row r="48" spans="1:30" collapsed="true">
      <c r="A48" s="43" t="s">
        <v>41</v>
      </c>
      <c r="B48" s="36">
        <f>N48</f>
        <v>13500</v>
      </c>
      <c r="C48" s="36">
        <f>O48</f>
        <v>0</v>
      </c>
      <c r="D48" s="36">
        <f>P48</f>
        <v>0</v>
      </c>
      <c r="E48" s="36">
        <f>Q48</f>
        <v>9000</v>
      </c>
      <c r="F48" s="36">
        <f>R48</f>
        <v>2600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9000</v>
      </c>
      <c r="L48" s="36">
        <f>X48</f>
        <v>2600</v>
      </c>
      <c r="M48" s="36">
        <f>Y48</f>
        <v>0</v>
      </c>
      <c r="N48" s="46">
        <f>SUM(N49:N53)</f>
        <v>13500</v>
      </c>
      <c r="O48" s="46">
        <f>SUM(O49:O53)</f>
        <v>0</v>
      </c>
      <c r="P48" s="46">
        <f>SUM(P49:P53)</f>
        <v>0</v>
      </c>
      <c r="Q48" s="46">
        <f>SUM(Q49:Q53)</f>
        <v>9000</v>
      </c>
      <c r="R48" s="46">
        <f>SUM(R49:R53)</f>
        <v>2600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9000</v>
      </c>
      <c r="X48" s="46">
        <f>SUM(X49:X53)</f>
        <v>2600</v>
      </c>
      <c r="Y48" s="46">
        <f>SUM(Y49:Y53)</f>
        <v>0</v>
      </c>
      <c r="Z48" s="46">
        <f>SUMIF($B$13:$Y$13,"Yes",B48:Y48)</f>
        <v>61800</v>
      </c>
      <c r="AA48" s="46">
        <f>SUM(B48:M48)</f>
        <v>36700</v>
      </c>
      <c r="AB48" s="46">
        <f>SUM(B48:Y48)</f>
        <v>73400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9000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9000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9000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9000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27000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2000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2000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1" t="str">
        <f>Calculations!$A$6</f>
        <v>Mangoes</v>
      </c>
      <c r="B51" s="36">
        <f>N51</f>
        <v>13500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13500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27000</v>
      </c>
      <c r="AA51" s="46">
        <f>SUM(B51:M51)</f>
        <v>13500</v>
      </c>
      <c r="AB51" s="46">
        <f>SUM(B51:Y51)</f>
        <v>27000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Maize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600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600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600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600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1800</v>
      </c>
      <c r="AA53" s="46">
        <f>SUM(B53:M53)</f>
        <v>1200</v>
      </c>
      <c r="AB53" s="46">
        <f>SUM(B53:Y53)</f>
        <v>2400</v>
      </c>
    </row>
    <row r="54" spans="1:30" collapsed="true">
      <c r="A54" s="16" t="s">
        <v>42</v>
      </c>
      <c r="B54" s="36">
        <f>N54</f>
        <v>1493.230830269305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1493.230830269305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1493.230830269305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1493.230830269305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5972.92332107722</v>
      </c>
      <c r="AA54" s="46">
        <f>SUM(B54:M54)</f>
        <v>2986.46166053861</v>
      </c>
      <c r="AB54" s="46">
        <f>SUM(B54:Y54)</f>
        <v>5972.92332107722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Mangoes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Maize</v>
      </c>
      <c r="B59" s="36">
        <f>N59</f>
        <v>1493.230830269305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1493.230830269305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1493.230830269305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1493.230830269305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5972.92332107722</v>
      </c>
      <c r="AA59" s="46">
        <f>SUM(B59:M59)</f>
        <v>2986.46166053861</v>
      </c>
      <c r="AB59" s="46">
        <f>SUM(B59:Y59)</f>
        <v>5972.92332107722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Mangoes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Maize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2325</v>
      </c>
      <c r="C66" s="36">
        <f>O66</f>
        <v>5500</v>
      </c>
      <c r="D66" s="36">
        <f>P66</f>
        <v>6700</v>
      </c>
      <c r="E66" s="36">
        <f>Q66</f>
        <v>6700</v>
      </c>
      <c r="F66" s="36">
        <f>R66</f>
        <v>6700</v>
      </c>
      <c r="G66" s="36">
        <f>S66</f>
        <v>2325</v>
      </c>
      <c r="H66" s="36">
        <f>T66</f>
        <v>2325</v>
      </c>
      <c r="I66" s="36">
        <f>U66</f>
        <v>5500</v>
      </c>
      <c r="J66" s="36">
        <f>V66</f>
        <v>6700</v>
      </c>
      <c r="K66" s="36">
        <f>W66</f>
        <v>6700</v>
      </c>
      <c r="L66" s="36">
        <f>X66</f>
        <v>6700</v>
      </c>
      <c r="M66" s="36">
        <f>Y66</f>
        <v>2325</v>
      </c>
      <c r="N66" s="46">
        <f>SUM(N67:N71)</f>
        <v>2325</v>
      </c>
      <c r="O66" s="46">
        <f>SUM(O67:O71)</f>
        <v>5500</v>
      </c>
      <c r="P66" s="46">
        <f>SUM(P67:P71)</f>
        <v>6700</v>
      </c>
      <c r="Q66" s="46">
        <f>SUM(Q67:Q71)</f>
        <v>6700</v>
      </c>
      <c r="R66" s="46">
        <f>SUM(R67:R71)</f>
        <v>6700</v>
      </c>
      <c r="S66" s="46">
        <f>SUM(S67:S71)</f>
        <v>2325</v>
      </c>
      <c r="T66" s="46">
        <f>SUM(T67:T71)</f>
        <v>2325</v>
      </c>
      <c r="U66" s="46">
        <f>SUM(U67:U71)</f>
        <v>5500</v>
      </c>
      <c r="V66" s="46">
        <f>SUM(V67:V71)</f>
        <v>6700</v>
      </c>
      <c r="W66" s="46">
        <f>SUM(W67:W71)</f>
        <v>6700</v>
      </c>
      <c r="X66" s="46">
        <f>SUM(X67:X71)</f>
        <v>6700</v>
      </c>
      <c r="Y66" s="46">
        <f>SUM(Y67:Y71)</f>
        <v>2325</v>
      </c>
      <c r="Z66" s="46">
        <f>SUMIF($B$13:$Y$13,"Yes",B66:Y66)</f>
        <v>93075</v>
      </c>
      <c r="AA66" s="46">
        <f>SUM(B66:M66)</f>
        <v>60500</v>
      </c>
      <c r="AB66" s="46">
        <f>SUM(B66:Y66)</f>
        <v>121000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4375</v>
      </c>
      <c r="D67" s="36">
        <f>P67</f>
        <v>4375</v>
      </c>
      <c r="E67" s="36">
        <f>Q67</f>
        <v>4375</v>
      </c>
      <c r="F67" s="36">
        <f>R67</f>
        <v>4375</v>
      </c>
      <c r="G67" s="36">
        <f>S67</f>
        <v>0</v>
      </c>
      <c r="H67" s="36">
        <f>T67</f>
        <v>0</v>
      </c>
      <c r="I67" s="36">
        <f>U67</f>
        <v>4375</v>
      </c>
      <c r="J67" s="36">
        <f>V67</f>
        <v>4375</v>
      </c>
      <c r="K67" s="36">
        <f>W67</f>
        <v>4375</v>
      </c>
      <c r="L67" s="36">
        <f>X67</f>
        <v>4375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52500</v>
      </c>
      <c r="AA67" s="46">
        <f>SUM(B67:M67)</f>
        <v>35000</v>
      </c>
      <c r="AB67" s="46">
        <f>SUM(B67:Y67)</f>
        <v>70000</v>
      </c>
    </row>
    <row r="68" spans="1:30" hidden="true" outlineLevel="1">
      <c r="A68" s="181" t="str">
        <f>Calculations!$A$5</f>
        <v>Onions</v>
      </c>
      <c r="B68" s="36">
        <f>N68</f>
        <v>625</v>
      </c>
      <c r="C68" s="36">
        <f>O68</f>
        <v>625</v>
      </c>
      <c r="D68" s="36">
        <f>P68</f>
        <v>625</v>
      </c>
      <c r="E68" s="36">
        <f>Q68</f>
        <v>625</v>
      </c>
      <c r="F68" s="36">
        <f>R68</f>
        <v>625</v>
      </c>
      <c r="G68" s="36">
        <f>S68</f>
        <v>625</v>
      </c>
      <c r="H68" s="36">
        <f>T68</f>
        <v>625</v>
      </c>
      <c r="I68" s="36">
        <f>U68</f>
        <v>625</v>
      </c>
      <c r="J68" s="36">
        <f>V68</f>
        <v>625</v>
      </c>
      <c r="K68" s="36">
        <f>W68</f>
        <v>625</v>
      </c>
      <c r="L68" s="36">
        <f>X68</f>
        <v>625</v>
      </c>
      <c r="M68" s="36">
        <f>Y68</f>
        <v>625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625</v>
      </c>
      <c r="Z68" s="46">
        <f>SUMIF($B$13:$Y$13,"Yes",B68:Y68)</f>
        <v>11875</v>
      </c>
      <c r="AA68" s="46">
        <f>SUM(B68:M68)</f>
        <v>7500</v>
      </c>
      <c r="AB68" s="46">
        <f>SUM(B68:Y68)</f>
        <v>15000</v>
      </c>
    </row>
    <row r="69" spans="1:30" hidden="true" outlineLevel="1">
      <c r="A69" s="181" t="str">
        <f>Calculations!$A$6</f>
        <v>Mangoes</v>
      </c>
      <c r="B69" s="36">
        <f>N69</f>
        <v>500</v>
      </c>
      <c r="C69" s="36">
        <f>O69</f>
        <v>500</v>
      </c>
      <c r="D69" s="36">
        <f>P69</f>
        <v>500</v>
      </c>
      <c r="E69" s="36">
        <f>Q69</f>
        <v>500</v>
      </c>
      <c r="F69" s="36">
        <f>R69</f>
        <v>500</v>
      </c>
      <c r="G69" s="36">
        <f>S69</f>
        <v>500</v>
      </c>
      <c r="H69" s="36">
        <f>T69</f>
        <v>500</v>
      </c>
      <c r="I69" s="36">
        <f>U69</f>
        <v>500</v>
      </c>
      <c r="J69" s="36">
        <f>V69</f>
        <v>500</v>
      </c>
      <c r="K69" s="36">
        <f>W69</f>
        <v>500</v>
      </c>
      <c r="L69" s="36">
        <f>X69</f>
        <v>500</v>
      </c>
      <c r="M69" s="36">
        <f>Y69</f>
        <v>500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500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500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500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500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500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500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500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500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500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500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500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500</v>
      </c>
      <c r="Z69" s="46">
        <f>SUMIF($B$13:$Y$13,"Yes",B69:Y69)</f>
        <v>9500</v>
      </c>
      <c r="AA69" s="46">
        <f>SUM(B69:M69)</f>
        <v>6000</v>
      </c>
      <c r="AB69" s="46">
        <f>SUM(B69:Y69)</f>
        <v>12000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Maize</v>
      </c>
      <c r="B71" s="36">
        <f>N71</f>
        <v>1200</v>
      </c>
      <c r="C71" s="36">
        <f>O71</f>
        <v>0</v>
      </c>
      <c r="D71" s="36">
        <f>P71</f>
        <v>1200</v>
      </c>
      <c r="E71" s="36">
        <f>Q71</f>
        <v>1200</v>
      </c>
      <c r="F71" s="36">
        <f>R71</f>
        <v>1200</v>
      </c>
      <c r="G71" s="36">
        <f>S71</f>
        <v>1200</v>
      </c>
      <c r="H71" s="36">
        <f>T71</f>
        <v>1200</v>
      </c>
      <c r="I71" s="36">
        <f>U71</f>
        <v>0</v>
      </c>
      <c r="J71" s="36">
        <f>V71</f>
        <v>1200</v>
      </c>
      <c r="K71" s="36">
        <f>W71</f>
        <v>1200</v>
      </c>
      <c r="L71" s="36">
        <f>X71</f>
        <v>1200</v>
      </c>
      <c r="M71" s="36">
        <f>Y71</f>
        <v>1200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1200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1200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1200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1200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1200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1200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1200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1200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1200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1200</v>
      </c>
      <c r="Z71" s="46">
        <f>SUMIF($B$13:$Y$13,"Yes",B71:Y71)</f>
        <v>19200</v>
      </c>
      <c r="AA71" s="46">
        <f>SUM(B71:M71)</f>
        <v>12000</v>
      </c>
      <c r="AB71" s="46">
        <f>SUM(B71:Y71)</f>
        <v>24000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2585.416666666667</v>
      </c>
      <c r="C74" s="46">
        <f>SUM(Calculations!$Q$14:$Q$16)/12</f>
        <v>2585.416666666667</v>
      </c>
      <c r="D74" s="46">
        <f>SUM(Calculations!$Q$14:$Q$16)/12</f>
        <v>2585.416666666667</v>
      </c>
      <c r="E74" s="46">
        <f>SUM(Calculations!$Q$14:$Q$16)/12</f>
        <v>2585.416666666667</v>
      </c>
      <c r="F74" s="46">
        <f>SUM(Calculations!$Q$14:$Q$16)/12</f>
        <v>2585.416666666667</v>
      </c>
      <c r="G74" s="46">
        <f>SUM(Calculations!$Q$14:$Q$16)/12</f>
        <v>2585.416666666667</v>
      </c>
      <c r="H74" s="46">
        <f>SUM(Calculations!$Q$14:$Q$16)/12</f>
        <v>2585.416666666667</v>
      </c>
      <c r="I74" s="46">
        <f>SUM(Calculations!$Q$14:$Q$16)/12</f>
        <v>2585.416666666667</v>
      </c>
      <c r="J74" s="46">
        <f>SUM(Calculations!$Q$14:$Q$16)/12</f>
        <v>2585.416666666667</v>
      </c>
      <c r="K74" s="46">
        <f>SUM(Calculations!$Q$14:$Q$16)/12</f>
        <v>2585.416666666667</v>
      </c>
      <c r="L74" s="46">
        <f>SUM(Calculations!$Q$14:$Q$16)/12</f>
        <v>2585.416666666667</v>
      </c>
      <c r="M74" s="46">
        <f>SUM(Calculations!$Q$14:$Q$16)/12</f>
        <v>2585.416666666667</v>
      </c>
      <c r="N74" s="46">
        <f>SUM(Calculations!$Q$14:$Q$16)/12</f>
        <v>2585.416666666667</v>
      </c>
      <c r="O74" s="46">
        <f>SUM(Calculations!$Q$14:$Q$16)/12</f>
        <v>2585.416666666667</v>
      </c>
      <c r="P74" s="46">
        <f>SUM(Calculations!$Q$14:$Q$16)/12</f>
        <v>2585.416666666667</v>
      </c>
      <c r="Q74" s="46">
        <f>SUM(Calculations!$Q$14:$Q$16)/12</f>
        <v>2585.416666666667</v>
      </c>
      <c r="R74" s="46">
        <f>SUM(Calculations!$Q$14:$Q$16)/12</f>
        <v>2585.416666666667</v>
      </c>
      <c r="S74" s="46">
        <f>SUM(Calculations!$Q$14:$Q$16)/12</f>
        <v>2585.416666666667</v>
      </c>
      <c r="T74" s="46">
        <f>SUM(Calculations!$Q$14:$Q$16)/12</f>
        <v>2585.416666666667</v>
      </c>
      <c r="U74" s="46">
        <f>SUM(Calculations!$Q$14:$Q$16)/12</f>
        <v>2585.416666666667</v>
      </c>
      <c r="V74" s="46">
        <f>SUM(Calculations!$Q$14:$Q$16)/12</f>
        <v>2585.416666666667</v>
      </c>
      <c r="W74" s="46">
        <f>SUM(Calculations!$Q$14:$Q$16)/12</f>
        <v>2585.416666666667</v>
      </c>
      <c r="X74" s="46">
        <f>SUM(Calculations!$Q$14:$Q$16)/12</f>
        <v>2585.416666666667</v>
      </c>
      <c r="Y74" s="46">
        <f>SUM(Calculations!$Q$14:$Q$16)/12</f>
        <v>2585.416666666667</v>
      </c>
      <c r="Z74" s="46">
        <f>SUMIF($B$13:$Y$13,"Yes",B74:Y74)</f>
        <v>49122.91666666666</v>
      </c>
      <c r="AA74" s="46">
        <f>SUM(B74:M74)</f>
        <v>31025</v>
      </c>
      <c r="AB74" s="46">
        <f>SUM(B74:Y74)</f>
        <v>62049.99999999998</v>
      </c>
    </row>
    <row r="75" spans="1:30">
      <c r="A75" s="16" t="s">
        <v>47</v>
      </c>
      <c r="B75" s="46">
        <f>SUM(Calculations!$R$14:$R$16)/12</f>
        <v>266.4444444444445</v>
      </c>
      <c r="C75" s="46">
        <f>SUM(Calculations!$R$14:$R$16)/12</f>
        <v>266.4444444444445</v>
      </c>
      <c r="D75" s="46">
        <f>SUM(Calculations!$R$14:$R$16)/12</f>
        <v>266.4444444444445</v>
      </c>
      <c r="E75" s="46">
        <f>SUM(Calculations!$R$14:$R$16)/12</f>
        <v>266.4444444444445</v>
      </c>
      <c r="F75" s="46">
        <f>SUM(Calculations!$R$14:$R$16)/12</f>
        <v>266.4444444444445</v>
      </c>
      <c r="G75" s="46">
        <f>SUM(Calculations!$R$14:$R$16)/12</f>
        <v>266.4444444444445</v>
      </c>
      <c r="H75" s="46">
        <f>SUM(Calculations!$R$14:$R$16)/12</f>
        <v>266.4444444444445</v>
      </c>
      <c r="I75" s="46">
        <f>SUM(Calculations!$R$14:$R$16)/12</f>
        <v>266.4444444444445</v>
      </c>
      <c r="J75" s="46">
        <f>SUM(Calculations!$R$14:$R$16)/12</f>
        <v>266.4444444444445</v>
      </c>
      <c r="K75" s="46">
        <f>SUM(Calculations!$R$14:$R$16)/12</f>
        <v>266.4444444444445</v>
      </c>
      <c r="L75" s="46">
        <f>SUM(Calculations!$R$14:$R$16)/12</f>
        <v>266.4444444444445</v>
      </c>
      <c r="M75" s="46">
        <f>SUM(Calculations!$R$14:$R$16)/12</f>
        <v>266.4444444444445</v>
      </c>
      <c r="N75" s="46">
        <f>SUM(Calculations!$R$14:$R$16)/12</f>
        <v>266.4444444444445</v>
      </c>
      <c r="O75" s="46">
        <f>SUM(Calculations!$R$14:$R$16)/12</f>
        <v>266.4444444444445</v>
      </c>
      <c r="P75" s="46">
        <f>SUM(Calculations!$R$14:$R$16)/12</f>
        <v>266.4444444444445</v>
      </c>
      <c r="Q75" s="46">
        <f>SUM(Calculations!$R$14:$R$16)/12</f>
        <v>266.4444444444445</v>
      </c>
      <c r="R75" s="46">
        <f>SUM(Calculations!$R$14:$R$16)/12</f>
        <v>266.4444444444445</v>
      </c>
      <c r="S75" s="46">
        <f>SUM(Calculations!$R$14:$R$16)/12</f>
        <v>266.4444444444445</v>
      </c>
      <c r="T75" s="46">
        <f>SUM(Calculations!$R$14:$R$16)/12</f>
        <v>266.4444444444445</v>
      </c>
      <c r="U75" s="46">
        <f>SUM(Calculations!$R$14:$R$16)/12</f>
        <v>266.4444444444445</v>
      </c>
      <c r="V75" s="46">
        <f>SUM(Calculations!$R$14:$R$16)/12</f>
        <v>266.4444444444445</v>
      </c>
      <c r="W75" s="46">
        <f>SUM(Calculations!$R$14:$R$16)/12</f>
        <v>266.4444444444445</v>
      </c>
      <c r="X75" s="46">
        <f>SUM(Calculations!$R$14:$R$16)/12</f>
        <v>266.4444444444445</v>
      </c>
      <c r="Y75" s="46">
        <f>SUM(Calculations!$R$14:$R$16)/12</f>
        <v>266.4444444444445</v>
      </c>
      <c r="Z75" s="46">
        <f>SUMIF($B$13:$Y$13,"Yes",B75:Y75)</f>
        <v>5062.444444444443</v>
      </c>
      <c r="AA75" s="46">
        <f>SUM(B75:M75)</f>
        <v>3197.333333333333</v>
      </c>
      <c r="AB75" s="46">
        <f>SUM(B75:Y75)</f>
        <v>6394.666666666665</v>
      </c>
    </row>
    <row r="76" spans="1:30">
      <c r="A76" s="16" t="s">
        <v>48</v>
      </c>
      <c r="B76" s="46">
        <f>SUM(Calculations!$S$14:$S$16)/12</f>
        <v>1475.219298245614</v>
      </c>
      <c r="C76" s="46">
        <f>SUM(Calculations!$S$14:$S$16)/12</f>
        <v>1475.219298245614</v>
      </c>
      <c r="D76" s="46">
        <f>SUM(Calculations!$S$14:$S$16)/12</f>
        <v>1475.219298245614</v>
      </c>
      <c r="E76" s="46">
        <f>SUM(Calculations!$S$14:$S$16)/12</f>
        <v>1475.219298245614</v>
      </c>
      <c r="F76" s="46">
        <f>SUM(Calculations!$S$14:$S$16)/12</f>
        <v>1475.219298245614</v>
      </c>
      <c r="G76" s="46">
        <f>SUM(Calculations!$S$14:$S$16)/12</f>
        <v>1475.219298245614</v>
      </c>
      <c r="H76" s="46">
        <f>SUM(Calculations!$S$14:$S$16)/12</f>
        <v>1475.219298245614</v>
      </c>
      <c r="I76" s="46">
        <f>SUM(Calculations!$S$14:$S$16)/12</f>
        <v>1475.219298245614</v>
      </c>
      <c r="J76" s="46">
        <f>SUM(Calculations!$S$14:$S$16)/12</f>
        <v>1475.219298245614</v>
      </c>
      <c r="K76" s="46">
        <f>SUM(Calculations!$S$14:$S$16)/12</f>
        <v>1475.219298245614</v>
      </c>
      <c r="L76" s="46">
        <f>SUM(Calculations!$S$14:$S$16)/12</f>
        <v>1475.219298245614</v>
      </c>
      <c r="M76" s="46">
        <f>SUM(Calculations!$S$14:$S$16)/12</f>
        <v>1475.219298245614</v>
      </c>
      <c r="N76" s="46">
        <f>SUM(Calculations!$S$14:$S$16)/12</f>
        <v>1475.219298245614</v>
      </c>
      <c r="O76" s="46">
        <f>SUM(Calculations!$S$14:$S$16)/12</f>
        <v>1475.219298245614</v>
      </c>
      <c r="P76" s="46">
        <f>SUM(Calculations!$S$14:$S$16)/12</f>
        <v>1475.219298245614</v>
      </c>
      <c r="Q76" s="46">
        <f>SUM(Calculations!$S$14:$S$16)/12</f>
        <v>1475.219298245614</v>
      </c>
      <c r="R76" s="46">
        <f>SUM(Calculations!$S$14:$S$16)/12</f>
        <v>1475.219298245614</v>
      </c>
      <c r="S76" s="46">
        <f>SUM(Calculations!$S$14:$S$16)/12</f>
        <v>1475.219298245614</v>
      </c>
      <c r="T76" s="46">
        <f>SUM(Calculations!$S$14:$S$16)/12</f>
        <v>1475.219298245614</v>
      </c>
      <c r="U76" s="46">
        <f>SUM(Calculations!$S$14:$S$16)/12</f>
        <v>1475.219298245614</v>
      </c>
      <c r="V76" s="46">
        <f>SUM(Calculations!$S$14:$S$16)/12</f>
        <v>1475.219298245614</v>
      </c>
      <c r="W76" s="46">
        <f>SUM(Calculations!$S$14:$S$16)/12</f>
        <v>1475.219298245614</v>
      </c>
      <c r="X76" s="46">
        <f>SUM(Calculations!$S$14:$S$16)/12</f>
        <v>1475.219298245614</v>
      </c>
      <c r="Y76" s="46">
        <f>SUM(Calculations!$S$14:$S$16)/12</f>
        <v>1475.219298245614</v>
      </c>
      <c r="Z76" s="46">
        <f>SUMIF($B$13:$Y$13,"Yes",B76:Y76)</f>
        <v>28029.16666666667</v>
      </c>
      <c r="AA76" s="46">
        <f>SUM(B76:M76)</f>
        <v>17702.63157894737</v>
      </c>
      <c r="AB76" s="46">
        <f>SUM(B76:Y76)</f>
        <v>35405.26315789474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54478.77023838786</v>
      </c>
      <c r="C81" s="46">
        <f>(SUM($AA$18:$AA$29)-SUM($AA$36,$AA$42,$AA$48,$AA$54,$AA$60,$AA$66,$AA$72:$AA$79))*Parameters!$B$37/12</f>
        <v>54478.77023838786</v>
      </c>
      <c r="D81" s="46">
        <f>(SUM($AA$18:$AA$29)-SUM($AA$36,$AA$42,$AA$48,$AA$54,$AA$60,$AA$66,$AA$72:$AA$79))*Parameters!$B$37/12</f>
        <v>54478.77023838786</v>
      </c>
      <c r="E81" s="46">
        <f>(SUM($AA$18:$AA$29)-SUM($AA$36,$AA$42,$AA$48,$AA$54,$AA$60,$AA$66,$AA$72:$AA$79))*Parameters!$B$37/12</f>
        <v>54478.77023838786</v>
      </c>
      <c r="F81" s="46">
        <f>(SUM($AA$18:$AA$29)-SUM($AA$36,$AA$42,$AA$48,$AA$54,$AA$60,$AA$66,$AA$72:$AA$79))*Parameters!$B$37/12</f>
        <v>54478.77023838786</v>
      </c>
      <c r="G81" s="46">
        <f>(SUM($AA$18:$AA$29)-SUM($AA$36,$AA$42,$AA$48,$AA$54,$AA$60,$AA$66,$AA$72:$AA$79))*Parameters!$B$37/12</f>
        <v>54478.77023838786</v>
      </c>
      <c r="H81" s="46">
        <f>(SUM($AA$18:$AA$29)-SUM($AA$36,$AA$42,$AA$48,$AA$54,$AA$60,$AA$66,$AA$72:$AA$79))*Parameters!$B$37/12</f>
        <v>54478.77023838786</v>
      </c>
      <c r="I81" s="46">
        <f>(SUM($AA$18:$AA$29)-SUM($AA$36,$AA$42,$AA$48,$AA$54,$AA$60,$AA$66,$AA$72:$AA$79))*Parameters!$B$37/12</f>
        <v>54478.77023838786</v>
      </c>
      <c r="J81" s="46">
        <f>(SUM($AA$18:$AA$29)-SUM($AA$36,$AA$42,$AA$48,$AA$54,$AA$60,$AA$66,$AA$72:$AA$79))*Parameters!$B$37/12</f>
        <v>54478.77023838786</v>
      </c>
      <c r="K81" s="46">
        <f>(SUM($AA$18:$AA$29)-SUM($AA$36,$AA$42,$AA$48,$AA$54,$AA$60,$AA$66,$AA$72:$AA$79))*Parameters!$B$37/12</f>
        <v>54478.77023838786</v>
      </c>
      <c r="L81" s="46">
        <f>(SUM($AA$18:$AA$29)-SUM($AA$36,$AA$42,$AA$48,$AA$54,$AA$60,$AA$66,$AA$72:$AA$79))*Parameters!$B$37/12</f>
        <v>54478.77023838786</v>
      </c>
      <c r="M81" s="46">
        <f>(SUM($AA$18:$AA$29)-SUM($AA$36,$AA$42,$AA$48,$AA$54,$AA$60,$AA$66,$AA$72:$AA$79))*Parameters!$B$37/12</f>
        <v>54478.77023838786</v>
      </c>
      <c r="N81" s="46">
        <f>(SUM($AA$18:$AA$29)-SUM($AA$36,$AA$42,$AA$48,$AA$54,$AA$60,$AA$66,$AA$72:$AA$79))*Parameters!$B$37/12</f>
        <v>54478.77023838786</v>
      </c>
      <c r="O81" s="46">
        <f>(SUM($AA$18:$AA$29)-SUM($AA$36,$AA$42,$AA$48,$AA$54,$AA$60,$AA$66,$AA$72:$AA$79))*Parameters!$B$37/12</f>
        <v>54478.77023838786</v>
      </c>
      <c r="P81" s="46">
        <f>(SUM($AA$18:$AA$29)-SUM($AA$36,$AA$42,$AA$48,$AA$54,$AA$60,$AA$66,$AA$72:$AA$79))*Parameters!$B$37/12</f>
        <v>54478.77023838786</v>
      </c>
      <c r="Q81" s="46">
        <f>(SUM($AA$18:$AA$29)-SUM($AA$36,$AA$42,$AA$48,$AA$54,$AA$60,$AA$66,$AA$72:$AA$79))*Parameters!$B$37/12</f>
        <v>54478.77023838786</v>
      </c>
      <c r="R81" s="46">
        <f>(SUM($AA$18:$AA$29)-SUM($AA$36,$AA$42,$AA$48,$AA$54,$AA$60,$AA$66,$AA$72:$AA$79))*Parameters!$B$37/12</f>
        <v>54478.77023838786</v>
      </c>
      <c r="S81" s="46">
        <f>(SUM($AA$18:$AA$29)-SUM($AA$36,$AA$42,$AA$48,$AA$54,$AA$60,$AA$66,$AA$72:$AA$79))*Parameters!$B$37/12</f>
        <v>54478.77023838786</v>
      </c>
      <c r="T81" s="46">
        <f>(SUM($AA$18:$AA$29)-SUM($AA$36,$AA$42,$AA$48,$AA$54,$AA$60,$AA$66,$AA$72:$AA$79))*Parameters!$B$37/12</f>
        <v>54478.77023838786</v>
      </c>
      <c r="U81" s="46">
        <f>(SUM($AA$18:$AA$29)-SUM($AA$36,$AA$42,$AA$48,$AA$54,$AA$60,$AA$66,$AA$72:$AA$79))*Parameters!$B$37/12</f>
        <v>54478.77023838786</v>
      </c>
      <c r="V81" s="46">
        <f>(SUM($AA$18:$AA$29)-SUM($AA$36,$AA$42,$AA$48,$AA$54,$AA$60,$AA$66,$AA$72:$AA$79))*Parameters!$B$37/12</f>
        <v>54478.77023838786</v>
      </c>
      <c r="W81" s="46">
        <f>(SUM($AA$18:$AA$29)-SUM($AA$36,$AA$42,$AA$48,$AA$54,$AA$60,$AA$66,$AA$72:$AA$79))*Parameters!$B$37/12</f>
        <v>54478.77023838786</v>
      </c>
      <c r="X81" s="46">
        <f>(SUM($AA$18:$AA$29)-SUM($AA$36,$AA$42,$AA$48,$AA$54,$AA$60,$AA$66,$AA$72:$AA$79))*Parameters!$B$37/12</f>
        <v>54478.77023838786</v>
      </c>
      <c r="Y81" s="46">
        <f>(SUM($AA$18:$AA$29)-SUM($AA$36,$AA$42,$AA$48,$AA$54,$AA$60,$AA$66,$AA$72:$AA$79))*Parameters!$B$37/12</f>
        <v>54478.77023838786</v>
      </c>
      <c r="Z81" s="46">
        <f>SUMIF($B$13:$Y$13,"Yes",B81:Y81)</f>
        <v>1035096.634529369</v>
      </c>
      <c r="AA81" s="46">
        <f>SUM(B81:M81)</f>
        <v>653745.2428606543</v>
      </c>
      <c r="AB81" s="46">
        <f>SUM(B81:Y81)</f>
        <v>1307490.485721309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76124.08147801389</v>
      </c>
      <c r="C88" s="19">
        <f>SUM(C72:C82,C66,C60,C54,C48,C42,C36)</f>
        <v>71305.85064774458</v>
      </c>
      <c r="D88" s="19">
        <f>SUM(D72:D82,D66,D60,D54,D48,D42,D36)</f>
        <v>70111.85064774459</v>
      </c>
      <c r="E88" s="19">
        <f>SUM(E72:E82,E66,E60,E54,E48,E42,E36)</f>
        <v>74505.85064774458</v>
      </c>
      <c r="F88" s="19">
        <f>SUM(F72:F82,F66,F60,F54,F48,F42,F36)</f>
        <v>68105.85064774458</v>
      </c>
      <c r="G88" s="19">
        <f>SUM(G72:G82,G66,G60,G54,G48,G42,G36)</f>
        <v>61130.85064774458</v>
      </c>
      <c r="H88" s="19">
        <f>SUM(H72:H82,H66,H60,H54,H48,H42,H36)</f>
        <v>62624.08147801389</v>
      </c>
      <c r="I88" s="19">
        <f>SUM(I72:I82,I66,I60,I54,I48,I42,I36)</f>
        <v>71305.85064774458</v>
      </c>
      <c r="J88" s="19">
        <f>SUM(J72:J82,J66,J60,J54,J48,J42,J36)</f>
        <v>70111.85064774459</v>
      </c>
      <c r="K88" s="19">
        <f>SUM(K72:K82,K66,K60,K54,K48,K42,K36)</f>
        <v>74505.85064774458</v>
      </c>
      <c r="L88" s="19">
        <f>SUM(L72:L82,L66,L60,L54,L48,L42,L36)</f>
        <v>68105.85064774458</v>
      </c>
      <c r="M88" s="19">
        <f>SUM(M72:M82,M66,M60,M54,M48,M42,M36)</f>
        <v>69130.85064774458</v>
      </c>
      <c r="N88" s="19">
        <f>SUM(N72:N82,N66,N60,N54,N48,N42,N36)</f>
        <v>76124.08147801389</v>
      </c>
      <c r="O88" s="19">
        <f>SUM(O72:O82,O66,O60,O54,O48,O42,O36)</f>
        <v>71305.85064774458</v>
      </c>
      <c r="P88" s="19">
        <f>SUM(P72:P82,P66,P60,P54,P48,P42,P36)</f>
        <v>70111.85064774459</v>
      </c>
      <c r="Q88" s="19">
        <f>SUM(Q72:Q82,Q66,Q60,Q54,Q48,Q42,Q36)</f>
        <v>74505.85064774458</v>
      </c>
      <c r="R88" s="19">
        <f>SUM(R72:R82,R66,R60,R54,R48,R42,R36)</f>
        <v>68105.85064774458</v>
      </c>
      <c r="S88" s="19">
        <f>SUM(S72:S82,S66,S60,S54,S48,S42,S36)</f>
        <v>61130.85064774458</v>
      </c>
      <c r="T88" s="19">
        <f>SUM(T72:T82,T66,T60,T54,T48,T42,T36)</f>
        <v>62624.08147801389</v>
      </c>
      <c r="U88" s="19">
        <f>SUM(U72:U82,U66,U60,U54,U48,U42,U36)</f>
        <v>71305.85064774458</v>
      </c>
      <c r="V88" s="19">
        <f>SUM(V72:V82,V66,V60,V54,V48,V42,V36)</f>
        <v>70111.85064774459</v>
      </c>
      <c r="W88" s="19">
        <f>SUM(W72:W82,W66,W60,W54,W48,W42,W36)</f>
        <v>74505.85064774458</v>
      </c>
      <c r="X88" s="19">
        <f>SUM(X72:X82,X66,X60,X54,X48,X42,X36)</f>
        <v>68105.85064774458</v>
      </c>
      <c r="Y88" s="19">
        <f>SUM(Y72:Y82,Y66,Y60,Y54,Y48,Y42,Y36)</f>
        <v>69130.85064774458</v>
      </c>
      <c r="Z88" s="19">
        <f>SUMIF($B$13:$Y$13,"Yes",B88:Y88)</f>
        <v>1320977.085628224</v>
      </c>
      <c r="AA88" s="19">
        <f>SUM(B88:M88)</f>
        <v>837068.6694334737</v>
      </c>
      <c r="AB88" s="19">
        <f>SUM(B88:Y88)</f>
        <v>1674137.338866947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449500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3420000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6399500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 t="s">
        <v>98</v>
      </c>
      <c r="B9" s="16"/>
      <c r="C9" s="143">
        <v>3</v>
      </c>
      <c r="D9" s="16"/>
      <c r="E9" s="147" t="s">
        <v>99</v>
      </c>
      <c r="F9" s="149" t="s">
        <v>97</v>
      </c>
      <c r="G9" s="147"/>
      <c r="H9" s="147" t="s">
        <v>92</v>
      </c>
      <c r="I9" s="147" t="s">
        <v>97</v>
      </c>
      <c r="J9" s="148" t="s">
        <v>100</v>
      </c>
      <c r="K9" s="138"/>
      <c r="L9" s="16"/>
      <c r="M9" s="165">
        <v>5</v>
      </c>
      <c r="N9" s="154">
        <v>0</v>
      </c>
    </row>
    <row r="10" spans="1:48">
      <c r="A10" s="143" t="s">
        <v>101</v>
      </c>
      <c r="B10" s="16" t="s">
        <v>102</v>
      </c>
      <c r="C10" s="143">
        <v>4</v>
      </c>
      <c r="D10" s="16">
        <v>0</v>
      </c>
      <c r="E10" s="147" t="s">
        <v>96</v>
      </c>
      <c r="F10" s="149" t="s">
        <v>103</v>
      </c>
      <c r="G10" s="147"/>
      <c r="H10" s="147" t="s">
        <v>92</v>
      </c>
      <c r="I10" s="147" t="s">
        <v>93</v>
      </c>
      <c r="J10" s="148" t="s">
        <v>104</v>
      </c>
      <c r="K10" s="138" t="s">
        <v>104</v>
      </c>
      <c r="L10" s="16">
        <v>0</v>
      </c>
      <c r="M10" s="165">
        <v>5</v>
      </c>
      <c r="N10" s="154">
        <v>0</v>
      </c>
    </row>
    <row r="11" spans="1:48">
      <c r="A11" s="144" t="s">
        <v>105</v>
      </c>
      <c r="B11" s="23"/>
      <c r="C11" s="144">
        <v>2</v>
      </c>
      <c r="D11" s="23"/>
      <c r="E11" s="150" t="s">
        <v>106</v>
      </c>
      <c r="F11" s="151" t="s">
        <v>103</v>
      </c>
      <c r="G11" s="150"/>
      <c r="H11" s="150" t="s">
        <v>92</v>
      </c>
      <c r="I11" s="150" t="s">
        <v>97</v>
      </c>
      <c r="J11" s="152" t="s">
        <v>107</v>
      </c>
      <c r="K11" s="119"/>
      <c r="L11" s="23"/>
      <c r="M11" s="167">
        <v>5</v>
      </c>
      <c r="N11" s="155">
        <v>2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109</v>
      </c>
      <c r="B18" s="10" t="s">
        <v>110</v>
      </c>
      <c r="C18" s="10" t="s">
        <v>111</v>
      </c>
      <c r="D18" s="10" t="s">
        <v>112</v>
      </c>
      <c r="E18" s="10" t="s">
        <v>113</v>
      </c>
      <c r="F18" s="10" t="s">
        <v>114</v>
      </c>
      <c r="G18" s="10" t="s">
        <v>115</v>
      </c>
      <c r="H18" s="10" t="s">
        <v>116</v>
      </c>
      <c r="I18" s="10" t="s">
        <v>117</v>
      </c>
      <c r="J18" s="10" t="s">
        <v>118</v>
      </c>
      <c r="K18" s="10" t="s">
        <v>119</v>
      </c>
      <c r="L18" s="10" t="s">
        <v>120</v>
      </c>
    </row>
    <row r="19" spans="1:48">
      <c r="A19" s="142" t="s">
        <v>121</v>
      </c>
      <c r="B19" s="20"/>
      <c r="C19" s="142">
        <v>70</v>
      </c>
      <c r="D19" s="145">
        <v>35</v>
      </c>
      <c r="E19" s="20"/>
      <c r="F19" s="145" t="s">
        <v>92</v>
      </c>
      <c r="G19" s="20"/>
      <c r="H19" s="20"/>
      <c r="I19" s="145" t="s">
        <v>122</v>
      </c>
      <c r="J19" s="145">
        <v>20</v>
      </c>
      <c r="K19" s="145">
        <v>20</v>
      </c>
      <c r="L19" s="25">
        <v>1</v>
      </c>
    </row>
    <row r="20" spans="1:48">
      <c r="A20" s="143" t="s">
        <v>123</v>
      </c>
      <c r="B20" s="16"/>
      <c r="C20" s="143">
        <v>2</v>
      </c>
      <c r="D20" s="147">
        <v>1</v>
      </c>
      <c r="E20" s="16"/>
      <c r="F20" s="147" t="s">
        <v>92</v>
      </c>
      <c r="G20" s="16"/>
      <c r="H20" s="16"/>
      <c r="I20" s="147" t="s">
        <v>122</v>
      </c>
      <c r="J20" s="147">
        <v>20</v>
      </c>
      <c r="K20" s="147"/>
      <c r="L20" s="30"/>
    </row>
    <row r="21" spans="1:48">
      <c r="A21" s="144" t="s">
        <v>124</v>
      </c>
      <c r="B21" s="23"/>
      <c r="C21" s="144">
        <v>3</v>
      </c>
      <c r="D21" s="150">
        <v>1</v>
      </c>
      <c r="E21" s="23"/>
      <c r="F21" s="150" t="s">
        <v>97</v>
      </c>
      <c r="G21" s="23"/>
      <c r="H21" s="23"/>
      <c r="I21" s="150" t="s">
        <v>125</v>
      </c>
      <c r="J21" s="150"/>
      <c r="K21" s="150"/>
      <c r="L21" s="31"/>
    </row>
    <row r="23" spans="1:48">
      <c r="A23" s="3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127</v>
      </c>
      <c r="B25" s="177">
        <v>50</v>
      </c>
    </row>
    <row r="27" spans="1:48">
      <c r="A27" s="14" t="s">
        <v>128</v>
      </c>
    </row>
    <row r="29" spans="1:48">
      <c r="A29" s="45" t="s">
        <v>129</v>
      </c>
      <c r="B29" s="156" t="s">
        <v>130</v>
      </c>
    </row>
    <row r="30" spans="1:48">
      <c r="A30" s="44" t="s">
        <v>131</v>
      </c>
      <c r="B30" s="157">
        <v>51000</v>
      </c>
    </row>
    <row r="31" spans="1:48">
      <c r="A31" s="5" t="s">
        <v>132</v>
      </c>
      <c r="B31" s="158">
        <v>0</v>
      </c>
    </row>
    <row r="33" spans="1:48">
      <c r="A33" s="14" t="s">
        <v>133</v>
      </c>
    </row>
    <row r="34" spans="1:48">
      <c r="A34" s="10" t="s">
        <v>134</v>
      </c>
      <c r="B34" s="10" t="s">
        <v>135</v>
      </c>
      <c r="C34" s="10" t="s">
        <v>136</v>
      </c>
      <c r="D34" s="48" t="s">
        <v>137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139</v>
      </c>
      <c r="B40" s="160" t="s">
        <v>92</v>
      </c>
    </row>
    <row r="41" spans="1:48">
      <c r="A41" s="55" t="s">
        <v>140</v>
      </c>
      <c r="B41" s="140"/>
    </row>
    <row r="42" spans="1:48">
      <c r="A42" s="55" t="s">
        <v>141</v>
      </c>
      <c r="B42" s="139"/>
    </row>
    <row r="43" spans="1:48">
      <c r="A43" s="55" t="s">
        <v>142</v>
      </c>
      <c r="B43" s="160" t="s">
        <v>143</v>
      </c>
    </row>
    <row r="44" spans="1:48">
      <c r="A44" s="56" t="s">
        <v>144</v>
      </c>
      <c r="B44" s="160" t="s">
        <v>92</v>
      </c>
    </row>
    <row r="45" spans="1:48">
      <c r="A45" s="56" t="s">
        <v>145</v>
      </c>
      <c r="B45" s="161">
        <v>250000</v>
      </c>
    </row>
    <row r="46" spans="1:48" customHeight="1" ht="30">
      <c r="A46" s="57" t="s">
        <v>146</v>
      </c>
      <c r="B46" s="161">
        <v>50000</v>
      </c>
    </row>
    <row r="47" spans="1:48" customHeight="1" ht="30">
      <c r="A47" s="57" t="s">
        <v>147</v>
      </c>
      <c r="B47" s="161">
        <v>200000</v>
      </c>
    </row>
    <row r="48" spans="1:48" customHeight="1" ht="30">
      <c r="A48" s="57" t="s">
        <v>148</v>
      </c>
      <c r="B48" s="161">
        <v>2000000</v>
      </c>
    </row>
    <row r="49" spans="1:48" customHeight="1" ht="30">
      <c r="A49" s="57" t="s">
        <v>149</v>
      </c>
      <c r="B49" s="161">
        <v>30000</v>
      </c>
    </row>
    <row r="50" spans="1:48">
      <c r="A50" s="43"/>
      <c r="B50" s="36"/>
    </row>
    <row r="51" spans="1:48">
      <c r="A51" s="58" t="s">
        <v>150</v>
      </c>
      <c r="B51" s="161">
        <v>0</v>
      </c>
    </row>
    <row r="52" spans="1:48">
      <c r="A52" s="43"/>
    </row>
    <row r="53" spans="1:48">
      <c r="A53" s="3" t="s">
        <v>151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152</v>
      </c>
      <c r="B55" s="10" t="s">
        <v>153</v>
      </c>
      <c r="C55" s="10" t="s">
        <v>154</v>
      </c>
      <c r="D55" s="10" t="s">
        <v>155</v>
      </c>
      <c r="E55" s="10" t="s">
        <v>156</v>
      </c>
      <c r="F55" s="10" t="s">
        <v>157</v>
      </c>
    </row>
    <row r="56" spans="1:48">
      <c r="A56" s="159">
        <v>150000</v>
      </c>
      <c r="B56" s="159">
        <v>0</v>
      </c>
      <c r="C56" s="162" t="s">
        <v>158</v>
      </c>
      <c r="D56" s="163" t="s">
        <v>159</v>
      </c>
      <c r="E56" s="163" t="s">
        <v>92</v>
      </c>
      <c r="F56" s="163"/>
    </row>
    <row r="57" spans="1:48">
      <c r="A57" s="157">
        <v>160000</v>
      </c>
      <c r="B57" s="157">
        <v>0</v>
      </c>
      <c r="C57" s="164" t="s">
        <v>160</v>
      </c>
      <c r="D57" s="165" t="s">
        <v>159</v>
      </c>
      <c r="E57" s="165" t="s">
        <v>92</v>
      </c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137</v>
      </c>
      <c r="B65" s="10" t="s">
        <v>162</v>
      </c>
      <c r="C65" s="10" t="s">
        <v>163</v>
      </c>
    </row>
    <row r="66" spans="1:48">
      <c r="A66" s="142" t="s">
        <v>100</v>
      </c>
      <c r="B66" s="159">
        <v>65820</v>
      </c>
      <c r="C66" s="163">
        <v>48852</v>
      </c>
      <c r="D66" s="49">
        <f>INDEX(Parameters!$D$79:$D$90,MATCH(Inputs!A66,Parameters!$C$79:$C$90,0))</f>
        <v>2</v>
      </c>
    </row>
    <row r="67" spans="1:48">
      <c r="A67" s="143" t="s">
        <v>104</v>
      </c>
      <c r="B67" s="157">
        <v>85420</v>
      </c>
      <c r="C67" s="165">
        <v>65850</v>
      </c>
      <c r="D67" s="49">
        <f>INDEX(Parameters!$D$79:$D$90,MATCH(Inputs!A67,Parameters!$C$79:$C$90,0))</f>
        <v>1</v>
      </c>
    </row>
    <row r="68" spans="1:48">
      <c r="A68" s="143" t="s">
        <v>164</v>
      </c>
      <c r="B68" s="157">
        <v>78985</v>
      </c>
      <c r="C68" s="165">
        <v>80258</v>
      </c>
      <c r="D68" s="49">
        <f>INDEX(Parameters!$D$79:$D$90,MATCH(Inputs!A68,Parameters!$C$79:$C$90,0))</f>
        <v>12</v>
      </c>
    </row>
    <row r="69" spans="1:48">
      <c r="A69" s="143" t="s">
        <v>165</v>
      </c>
      <c r="B69" s="157">
        <v>69854</v>
      </c>
      <c r="C69" s="165">
        <v>51258</v>
      </c>
      <c r="D69" s="49">
        <f>INDEX(Parameters!$D$79:$D$90,MATCH(Inputs!A69,Parameters!$C$79:$C$90,0))</f>
        <v>11</v>
      </c>
    </row>
    <row r="70" spans="1:48">
      <c r="A70" s="143" t="s">
        <v>166</v>
      </c>
      <c r="B70" s="157">
        <v>71250</v>
      </c>
      <c r="C70" s="165">
        <v>65875</v>
      </c>
      <c r="D70" s="49">
        <f>INDEX(Parameters!$D$79:$D$90,MATCH(Inputs!A70,Parameters!$C$79:$C$90,0))</f>
        <v>10</v>
      </c>
    </row>
    <row r="71" spans="1:48">
      <c r="A71" s="144" t="s">
        <v>167</v>
      </c>
      <c r="B71" s="158">
        <v>98250</v>
      </c>
      <c r="C71" s="167">
        <v>58780</v>
      </c>
      <c r="D71" s="49">
        <f>INDEX(Parameters!$D$79:$D$90,MATCH(Inputs!A71,Parameters!$C$79:$C$90,0))</f>
        <v>9</v>
      </c>
    </row>
    <row r="73" spans="1:48">
      <c r="A73" s="3" t="s">
        <v>168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169</v>
      </c>
      <c r="B75" s="161">
        <v>12</v>
      </c>
    </row>
    <row r="76" spans="1:48">
      <c r="A76" t="s">
        <v>170</v>
      </c>
      <c r="B76" s="168" t="s">
        <v>171</v>
      </c>
    </row>
    <row r="78" spans="1:48" customHeight="1" ht="20.25">
      <c r="B78" s="127" t="s">
        <v>172</v>
      </c>
    </row>
    <row r="79" spans="1:48">
      <c r="A79" t="s">
        <v>173</v>
      </c>
      <c r="B79" s="168" t="s">
        <v>171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174</v>
      </c>
      <c r="B80" s="168" t="s">
        <v>175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176</v>
      </c>
      <c r="B81" s="161">
        <v>200000</v>
      </c>
    </row>
    <row r="82" spans="1:48">
      <c r="A82" t="s">
        <v>177</v>
      </c>
      <c r="B82" s="161">
        <v>18</v>
      </c>
    </row>
    <row r="83" spans="1:48">
      <c r="A83" t="s">
        <v>178</v>
      </c>
      <c r="B83" s="169" t="s">
        <v>179</v>
      </c>
    </row>
    <row r="84" spans="1:48">
      <c r="A84" t="s">
        <v>180</v>
      </c>
      <c r="B84" s="169">
        <v>1</v>
      </c>
    </row>
    <row r="85" spans="1:48">
      <c r="A85" t="s">
        <v>181</v>
      </c>
      <c r="B85" s="169">
        <v>18</v>
      </c>
    </row>
    <row r="86" spans="1:48">
      <c r="A86" t="s">
        <v>182</v>
      </c>
      <c r="B86" s="161">
        <v>5</v>
      </c>
    </row>
    <row r="87" spans="1:48">
      <c r="A87" t="s">
        <v>183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184</v>
      </c>
      <c r="C3" s="15" t="s">
        <v>185</v>
      </c>
      <c r="D3" s="15" t="s">
        <v>186</v>
      </c>
      <c r="E3" s="15" t="s">
        <v>187</v>
      </c>
      <c r="F3" s="15" t="s">
        <v>188</v>
      </c>
      <c r="G3" s="15" t="s">
        <v>189</v>
      </c>
      <c r="H3" s="15" t="s">
        <v>190</v>
      </c>
      <c r="I3" s="15" t="s">
        <v>191</v>
      </c>
      <c r="J3" s="15" t="s">
        <v>192</v>
      </c>
      <c r="K3" s="15" t="s">
        <v>193</v>
      </c>
      <c r="L3" s="15" t="s">
        <v>194</v>
      </c>
      <c r="M3" s="15" t="s">
        <v>195</v>
      </c>
      <c r="N3" s="15" t="s">
        <v>196</v>
      </c>
      <c r="O3" s="15" t="s">
        <v>197</v>
      </c>
      <c r="P3" s="15" t="s">
        <v>198</v>
      </c>
      <c r="Q3" s="32" t="s">
        <v>199</v>
      </c>
      <c r="R3" s="15" t="s">
        <v>200</v>
      </c>
      <c r="S3" s="15" t="s">
        <v>201</v>
      </c>
      <c r="T3" s="15" t="s">
        <v>202</v>
      </c>
      <c r="U3" s="178" t="s">
        <v>87</v>
      </c>
      <c r="V3" s="32" t="s">
        <v>203</v>
      </c>
      <c r="W3" s="32" t="s">
        <v>204</v>
      </c>
      <c r="X3" s="32" t="s">
        <v>205</v>
      </c>
      <c r="Y3" s="32" t="s">
        <v>206</v>
      </c>
      <c r="Z3" s="32" t="s">
        <v>43</v>
      </c>
      <c r="AA3" s="32" t="s">
        <v>207</v>
      </c>
      <c r="AB3" s="32" t="s">
        <v>208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42856</v>
      </c>
      <c r="D4" s="38">
        <f>IFERROR(DATE(YEAR(B4),MONTH(B4)+T4,DAY(B4)),"")</f>
        <v>42887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43070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7866.059066797932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523092.9279420625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42795</v>
      </c>
      <c r="C5" s="39">
        <f>IFERROR(DATE(YEAR(B5),MONTH(B5)+ROUND(T5/2,0),DAY(B5)),B5)</f>
        <v>42887</v>
      </c>
      <c r="D5" s="39">
        <f>IFERROR(DATE(YEAR(B5),MONTH(B5)+T5,DAY(B5)),"")</f>
        <v>42948</v>
      </c>
      <c r="E5" s="39">
        <f>IFERROR(IF($S5=0,"",IF($S5=2,DATE(YEAR(B5),MONTH(B5)+6,DAY(B5)),IF($S5=1,B5,""))),"")</f>
        <v>42979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43132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3479.15654460647</v>
      </c>
      <c r="M5" s="30">
        <f>L5*H5</f>
        <v>3479.15654460647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370182.2563461284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Mangoes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42767</v>
      </c>
      <c r="C6" s="39">
        <f>IFERROR(DATE(YEAR(B6),MONTH(B6)+ROUND(T6/2,0),DAY(B6)),B6)</f>
        <v>42767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3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3500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3835.813921798289</v>
      </c>
      <c r="M6" s="30">
        <f>L6*H6</f>
        <v>11507.44176539487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4.199999999999999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45914.6926439255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13500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12000</v>
      </c>
      <c r="AC6" s="22">
        <f>IF($A6=0,1/12,IFERROR(INDEX(Parameters!$X$2:$AI$17,MATCH(Calculations!$A6,Parameters!$A$2:$A$17,0),MONTH(Calculations!AC$3)),1/12))</f>
        <v>0.2290076335877863</v>
      </c>
      <c r="AD6" s="22">
        <f>IF($A6=0,1/12,IFERROR(INDEX(Parameters!$X$2:$AI$17,MATCH(Calculations!$A6,Parameters!$A$2:$A$17,0),MONTH(Calculations!AD$3)),1/12))</f>
        <v>0.1374045801526718</v>
      </c>
      <c r="AE6" s="22">
        <f>IF($A6=0,1/12,IFERROR(INDEX(Parameters!$X$2:$AI$17,MATCH(Calculations!$A6,Parameters!$A$2:$A$17,0),MONTH(Calculations!AE$3)),1/12))</f>
        <v>0.03816793893129772</v>
      </c>
      <c r="AF6" s="22">
        <f>IF($A6=0,1/12,IFERROR(INDEX(Parameters!$X$2:$AI$17,MATCH(Calculations!$A6,Parameters!$A$2:$A$17,0),MONTH(Calculations!AF$3)),1/12))</f>
        <v>0.007633587786259543</v>
      </c>
      <c r="AG6" s="22">
        <f>IF($A6=0,1/12,IFERROR(INDEX(Parameters!$X$2:$AI$17,MATCH(Calculations!$A6,Parameters!$A$2:$A$17,0),MONTH(Calculations!AG$3)),1/12))</f>
        <v>0.007633587786259543</v>
      </c>
      <c r="AH6" s="22">
        <f>IF($A6=0,1/12,IFERROR(INDEX(Parameters!$X$2:$AI$17,MATCH(Calculations!$A6,Parameters!$A$2:$A$17,0),MONTH(Calculations!AH$3)),1/12))</f>
        <v>0.007633587786259543</v>
      </c>
      <c r="AI6" s="22">
        <f>IF($A6=0,1/12,IFERROR(INDEX(Parameters!$X$2:$AI$17,MATCH(Calculations!$A6,Parameters!$A$2:$A$17,0),MONTH(Calculations!AI$3)),1/12))</f>
        <v>0.007633587786259543</v>
      </c>
      <c r="AJ6" s="22">
        <f>IF($A6=0,1/12,IFERROR(INDEX(Parameters!$X$2:$AI$17,MATCH(Calculations!$A6,Parameters!$A$2:$A$17,0),MONTH(Calculations!AJ$3)),1/12))</f>
        <v>0.03053435114503817</v>
      </c>
      <c r="AK6" s="22">
        <f>IF($A6=0,1/12,IFERROR(INDEX(Parameters!$X$2:$AI$17,MATCH(Calculations!$A6,Parameters!$A$2:$A$17,0),MONTH(Calculations!AK$3)),1/12))</f>
        <v>0.04580152671755726</v>
      </c>
      <c r="AL6" s="22">
        <f>IF($A6=0,1/12,IFERROR(INDEX(Parameters!$X$2:$AI$17,MATCH(Calculations!$A6,Parameters!$A$2:$A$17,0),MONTH(Calculations!AL$3)),1/12))</f>
        <v>0.07633587786259544</v>
      </c>
      <c r="AM6" s="22">
        <f>IF($A6=0,1/12,IFERROR(INDEX(Parameters!$X$2:$AI$17,MATCH(Calculations!$A6,Parameters!$A$2:$A$17,0),MONTH(Calculations!AM$3)),1/12))</f>
        <v>0.183206106870229</v>
      </c>
      <c r="AN6" s="22">
        <f>IF($A6=0,1/12,IFERROR(INDEX(Parameters!$X$2:$AI$17,MATCH(Calculations!$A6,Parameters!$A$2:$A$17,0),MONTH(Calculations!AN$3)),1/12))</f>
        <v>0.2290076335877863</v>
      </c>
      <c r="AO6" s="22">
        <f>IF($A6=0,1/12,IFERROR(INDEX(Parameters!$X$2:$AI$17,MATCH(Calculations!$A6,Parameters!$A$2:$A$17,0),MONTH(Calculations!AO$3)),1/12))</f>
        <v>0.2290076335877863</v>
      </c>
      <c r="AP6" s="22">
        <f>IF($A6=0,1/12,IFERROR(INDEX(Parameters!$X$2:$AI$17,MATCH(Calculations!$A6,Parameters!$A$2:$A$17,0),MONTH(Calculations!AP$3)),1/12))</f>
        <v>0.1374045801526718</v>
      </c>
      <c r="AQ6" s="22">
        <f>IF($A6=0,1/12,IFERROR(INDEX(Parameters!$X$2:$AI$17,MATCH(Calculations!$A6,Parameters!$A$2:$A$17,0),MONTH(Calculations!AQ$3)),1/12))</f>
        <v>0.03816793893129772</v>
      </c>
      <c r="AR6" s="22">
        <f>IF($A6=0,1/12,IFERROR(INDEX(Parameters!$X$2:$AI$17,MATCH(Calculations!$A6,Parameters!$A$2:$A$17,0),MONTH(Calculations!AR$3)),1/12))</f>
        <v>0.007633587786259543</v>
      </c>
      <c r="AS6" s="22">
        <f>IF($A6=0,1/12,IFERROR(INDEX(Parameters!$X$2:$AI$17,MATCH(Calculations!$A6,Parameters!$A$2:$A$17,0),MONTH(Calculations!AS$3)),1/12))</f>
        <v>0.007633587786259543</v>
      </c>
      <c r="AT6" s="22">
        <f>IF($A6=0,1/12,IFERROR(INDEX(Parameters!$X$2:$AI$17,MATCH(Calculations!$A6,Parameters!$A$2:$A$17,0),MONTH(Calculations!AT$3)),1/12))</f>
        <v>0.007633587786259543</v>
      </c>
      <c r="AU6" s="22">
        <f>IF($A6=0,1/12,IFERROR(INDEX(Parameters!$X$2:$AI$17,MATCH(Calculations!$A6,Parameters!$A$2:$A$17,0),MONTH(Calculations!AU$3)),1/12))</f>
        <v>0.007633587786259543</v>
      </c>
      <c r="AV6" s="22">
        <f>IF($A6=0,1/12,IFERROR(INDEX(Parameters!$X$2:$AI$17,MATCH(Calculations!$A6,Parameters!$A$2:$A$17,0),MONTH(Calculations!AV$3)),1/12))</f>
        <v>0.03053435114503817</v>
      </c>
      <c r="AW6" s="22">
        <f>IF($A6=0,1/12,IFERROR(INDEX(Parameters!$X$2:$AI$17,MATCH(Calculations!$A6,Parameters!$A$2:$A$17,0),MONTH(Calculations!AW$3)),1/12))</f>
        <v>0.04580152671755726</v>
      </c>
      <c r="AX6" s="22">
        <f>IF($A6=0,1/12,IFERROR(INDEX(Parameters!$X$2:$AI$17,MATCH(Calculations!$A6,Parameters!$A$2:$A$17,0),MONTH(Calculations!AX$3)),1/12))</f>
        <v>0.07633587786259544</v>
      </c>
      <c r="AY6" s="22">
        <f>IF($A6=0,1/12,IFERROR(INDEX(Parameters!$X$2:$AI$17,MATCH(Calculations!$A6,Parameters!$A$2:$A$17,0),MONTH(Calculations!AY$3)),1/12))</f>
        <v>0.183206106870229</v>
      </c>
      <c r="AZ6" s="22">
        <f>IF($A6=0,1/12,IFERROR(INDEX(Parameters!$X$2:$AI$17,MATCH(Calculations!$A6,Parameters!$A$2:$A$17,0),MONTH(Calculations!AZ$3)),1/12))</f>
        <v>0.2290076335877863</v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43101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4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8000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Maize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42826</v>
      </c>
      <c r="C8" s="40">
        <f>IFERROR(DATE(YEAR(B8),MONTH(B8)+ROUND(T8/2,0),DAY(B8)),B8)</f>
        <v>42887</v>
      </c>
      <c r="D8" s="40">
        <f>IFERROR(DATE(YEAR(B8),MONTH(B8)+T8,DAY(B8)),"")</f>
        <v>42948</v>
      </c>
      <c r="E8" s="40">
        <f>IFERROR(IF($S8=0,"",IF($S8=2,DATE(YEAR(B8),MONTH(B8)+6,DAY(B8)),IF($S8=1,B8,""))),"")</f>
        <v>43009</v>
      </c>
      <c r="F8" s="40">
        <f>IFERROR(IF($S8=0,"",IF($S8=2,DATE(YEAR(C8),MONTH(C8)+6,DAY(C8)),IF($S8=1,C8,""))),"")</f>
        <v>43070</v>
      </c>
      <c r="G8" s="40">
        <f>IFERROR(IF($S8=0,"",IF($S8=2,DATE(YEAR(D8),MONTH(D8)+6,DAY(D8)),IF($S8=1,D8,""))),"")</f>
        <v>43132</v>
      </c>
      <c r="H8" s="23">
        <f>Inputs!C11</f>
        <v>2</v>
      </c>
      <c r="I8" s="119" t="str">
        <f>IFERROR(VLOOKUP(Inputs!E11,Parameters!$J$77:$K$81,2,0),"")</f>
        <v>No</v>
      </c>
      <c r="J8" s="28">
        <f>IFERROR(Inputs!G11/Calculations!H8,"")</f>
        <v>0</v>
      </c>
      <c r="K8" s="28">
        <f>IFERROR(INDEX(Parameters!$A$3:$V$17,MATCH(Calculations!$A8,Parameters!$A$3:$A$17,0),MATCH(Parameters!$I$3,Parameters!$A$3:$V$3,0)),0)</f>
        <v>150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649.2307957692631</v>
      </c>
      <c r="M8" s="31">
        <f>L8*H8</f>
        <v>1298.461591538526</v>
      </c>
      <c r="N8" s="24">
        <f>Calculations!U8</f>
        <v>0.05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21</v>
      </c>
      <c r="P8" s="24">
        <f>IFERROR(INDEX(Parameters!$A$3:$V$17,MATCH(Calculations!$A8,Parameters!$A$3:$A$17,0),MATCH($P$3,Parameters!$A$3:$V$3,0)),0)</f>
        <v>0.2</v>
      </c>
      <c r="Q8" s="35">
        <f>IFERROR(M8*O8*(1-N8)*MAX(S8,1),0)</f>
        <v>51808.61750238719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2</v>
      </c>
      <c r="T8" s="31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4</v>
      </c>
      <c r="U8" s="24">
        <f>Inputs!M11/100</f>
        <v>0.05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606.0000000000001</v>
      </c>
      <c r="W8" s="35">
        <f>IFERROR(J8*H8*Parameters!$B$35+IF(OR(Inputs!F11=Parameters!$E$78,Inputs!F11=Parameters!$E$80),Calculations!H8*Parameters!$B$36,0),0)</f>
        <v>4000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600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1493.230830269305</v>
      </c>
      <c r="AB8" s="35">
        <f>H8*IFERROR(INDEX(Parameters!$A$3:$AI$17,MATCH(Calculations!A8,Parameters!$A$3:$A$17,0),MATCH(Parameters!$O$3,Parameters!$A$3:$AI$3,0)),AVERAGE(Parameters!$O$4:$O$17))*(1-Inputs!$B$25/100)</f>
        <v>12000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109</v>
      </c>
      <c r="B13" s="15" t="s">
        <v>35</v>
      </c>
      <c r="C13" s="15" t="s">
        <v>209</v>
      </c>
      <c r="D13" s="15" t="s">
        <v>210</v>
      </c>
      <c r="E13" s="15" t="s">
        <v>211</v>
      </c>
      <c r="F13" s="15" t="s">
        <v>212</v>
      </c>
      <c r="G13" s="15" t="s">
        <v>213</v>
      </c>
      <c r="H13" s="15" t="s">
        <v>214</v>
      </c>
      <c r="I13" s="15" t="s">
        <v>215</v>
      </c>
      <c r="J13" s="15" t="s">
        <v>216</v>
      </c>
      <c r="K13" s="15" t="s">
        <v>217</v>
      </c>
      <c r="L13" s="15" t="s">
        <v>218</v>
      </c>
      <c r="M13" s="178" t="s">
        <v>219</v>
      </c>
      <c r="N13" s="178" t="s">
        <v>220</v>
      </c>
      <c r="O13" s="62" t="s">
        <v>221</v>
      </c>
      <c r="P13" s="62" t="s">
        <v>222</v>
      </c>
      <c r="Q13" s="62" t="s">
        <v>223</v>
      </c>
      <c r="R13" s="62" t="s">
        <v>224</v>
      </c>
      <c r="S13" s="62" t="s">
        <v>225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70</v>
      </c>
      <c r="E14" s="16">
        <f>Inputs!D19</f>
        <v>35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0.2</v>
      </c>
      <c r="N14" s="179">
        <f>Inputs!K19/100</f>
        <v>0.2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39957.8947368421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</v>
      </c>
      <c r="R14" s="63">
        <f>IFERROR(D14*INDEX(Parameters!$A$22:$P$29,MATCH(Calculations!$A14,Parameters!$A$22:$A$29,0),MATCH(Parameters!$M$22,Parameters!$A$22:$P$22,0)),"")</f>
        <v>597.3333333333334</v>
      </c>
      <c r="S14" s="63">
        <f>IFERROR(D14*INDEX(Parameters!$A$22:$P$29,MATCH(Calculations!$A14,Parameters!$A$22:$A$29,0),MATCH(Parameters!$N$22,Parameters!$A$22:$P$22,0)),"")</f>
        <v>4802.631578947367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0.2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161368.4210526316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3</v>
      </c>
      <c r="E16" s="16">
        <f>Inputs!D21</f>
        <v>1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8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600</v>
      </c>
      <c r="S16" s="64">
        <f>IFERROR(D16*INDEX(Parameters!$A$22:$P$29,MATCH(Calculations!$A16,Parameters!$A$22:$A$29,0),MATCH(Parameters!$N$22,Parameters!$A$22:$P$22,0)),"")</f>
        <v>900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70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43282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11375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152</v>
      </c>
      <c r="B22" s="74" t="s">
        <v>226</v>
      </c>
      <c r="C22" s="74" t="s">
        <v>227</v>
      </c>
      <c r="D22" s="74" t="s">
        <v>228</v>
      </c>
      <c r="E22" s="74" t="s">
        <v>229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160000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231</v>
      </c>
      <c r="B32" s="129" t="s">
        <v>232</v>
      </c>
      <c r="C32" s="129" t="s">
        <v>233</v>
      </c>
      <c r="D32" s="129" t="s">
        <v>234</v>
      </c>
      <c r="F32" s="132" t="s">
        <v>235</v>
      </c>
      <c r="G32" s="132" t="s">
        <v>236</v>
      </c>
      <c r="I32" s="174" t="s">
        <v>237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42795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42795</v>
      </c>
      <c r="F33" t="s">
        <v>173</v>
      </c>
      <c r="G33" s="128">
        <f>IF(Inputs!B79="","",DATE(YEAR(Inputs!B79),MONTH(Inputs!B79),DAY(Inputs!B79)))</f>
        <v>42789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42826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42826</v>
      </c>
      <c r="F34" t="s">
        <v>174</v>
      </c>
      <c r="G34" s="128">
        <f>IF(Inputs!B80="","",DATE(YEAR(Inputs!B80),MONTH(Inputs!B80),DAY(Inputs!B80)))</f>
        <v>42795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42856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42856</v>
      </c>
      <c r="F35" t="s">
        <v>176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42887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42887</v>
      </c>
      <c r="F36" t="s">
        <v>177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42917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42917</v>
      </c>
      <c r="F37" t="s">
        <v>238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42948</v>
      </c>
      <c r="C38" s="27">
        <f>IF(B38&lt;&gt;"",IF(COUNT($A$33:A38)&lt;=$G$39,0,$G$41)+IF(COUNT($A$33:A38)&lt;=$G$40,0,$G$42),0)</f>
        <v>18384.61538461538</v>
      </c>
      <c r="D38" s="170">
        <f>IFERROR(DATE(YEAR(B38),MONTH(B38),1)," ")</f>
        <v>42948</v>
      </c>
      <c r="F38" t="s">
        <v>239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42979</v>
      </c>
      <c r="C39" s="27">
        <f>IF(B39&lt;&gt;"",IF(COUNT($A$33:A39)&lt;=$G$39,0,$G$41)+IF(COUNT($A$33:A39)&lt;=$G$40,0,$G$42),0)</f>
        <v>18384.61538461538</v>
      </c>
      <c r="D39" s="170">
        <f>IFERROR(DATE(YEAR(B39),MONTH(B39),1)," ")</f>
        <v>42979</v>
      </c>
      <c r="F39" t="s">
        <v>182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43009</v>
      </c>
      <c r="C40" s="27">
        <f>IF(B40&lt;&gt;"",IF(COUNT($A$33:A40)&lt;=$G$39,0,$G$41)+IF(COUNT($A$33:A40)&lt;=$G$40,0,$G$42),0)</f>
        <v>18384.61538461538</v>
      </c>
      <c r="D40" s="170">
        <f>IFERROR(DATE(YEAR(B40),MONTH(B40),1)," ")</f>
        <v>43009</v>
      </c>
      <c r="F40" t="s">
        <v>183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43040</v>
      </c>
      <c r="C41" s="27">
        <f>IF(B41&lt;&gt;"",IF(COUNT($A$33:A41)&lt;=$G$39,0,$G$41)+IF(COUNT($A$33:A41)&lt;=$G$40,0,$G$42),0)</f>
        <v>18384.61538461538</v>
      </c>
      <c r="D41" s="170">
        <f>IFERROR(DATE(YEAR(B41),MONTH(B41),1)," ")</f>
        <v>43040</v>
      </c>
      <c r="F41" t="s">
        <v>240</v>
      </c>
      <c r="G41" s="73">
        <f>IFERROR(G35/(G38-G39),"")</f>
        <v>15384.61538461538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43070</v>
      </c>
      <c r="C42" s="27">
        <f>IF(B42&lt;&gt;"",IF(COUNT($A$33:A42)&lt;=$G$39,0,$G$41)+IF(COUNT($A$33:A42)&lt;=$G$40,0,$G$42),0)</f>
        <v>18384.61538461538</v>
      </c>
      <c r="D42" s="170">
        <f>IFERROR(DATE(YEAR(B42),MONTH(B42),1)," ")</f>
        <v>43070</v>
      </c>
      <c r="F42" t="s">
        <v>241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43101</v>
      </c>
      <c r="C43" s="27">
        <f>IF(B43&lt;&gt;"",IF(COUNT($A$33:A43)&lt;=$G$39,0,$G$41)+IF(COUNT($A$33:A43)&lt;=$G$40,0,$G$42),0)</f>
        <v>18384.61538461538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43132</v>
      </c>
      <c r="C44" s="27">
        <f>IF(B44&lt;&gt;"",IF(COUNT($A$33:A44)&lt;=$G$39,0,$G$41)+IF(COUNT($A$33:A44)&lt;=$G$40,0,$G$42),0)</f>
        <v>18384.61538461538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43160</v>
      </c>
      <c r="C45" s="27">
        <f>IF(B45&lt;&gt;"",IF(COUNT($A$33:A45)&lt;=$G$39,0,$G$41)+IF(COUNT($A$33:A45)&lt;=$G$40,0,$G$42),0)</f>
        <v>18384.61538461538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43191</v>
      </c>
      <c r="C46" s="27">
        <f>IF(B46&lt;&gt;"",IF(COUNT($A$33:A46)&lt;=$G$39,0,$G$41)+IF(COUNT($A$33:A46)&lt;=$G$40,0,$G$42),0)</f>
        <v>18384.61538461538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43221</v>
      </c>
      <c r="C47" s="27">
        <f>IF(B47&lt;&gt;"",IF(COUNT($A$33:A47)&lt;=$G$39,0,$G$41)+IF(COUNT($A$33:A47)&lt;=$G$40,0,$G$42),0)</f>
        <v>18384.61538461538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43252</v>
      </c>
      <c r="C48" s="27">
        <f>IF(B48&lt;&gt;"",IF(COUNT($A$33:A48)&lt;=$G$39,0,$G$41)+IF(COUNT($A$33:A48)&lt;=$G$40,0,$G$42),0)</f>
        <v>18384.61538461538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43282</v>
      </c>
      <c r="C49" s="27">
        <f>IF(B49&lt;&gt;"",IF(COUNT($A$33:A49)&lt;=$G$39,0,$G$41)+IF(COUNT($A$33:A49)&lt;=$G$40,0,$G$42),0)</f>
        <v>18384.61538461538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43313</v>
      </c>
      <c r="C50" s="27">
        <f>IF(B50&lt;&gt;"",IF(COUNT($A$33:A50)&lt;=$G$39,0,$G$41)+IF(COUNT($A$33:A50)&lt;=$G$40,0,$G$42),0)</f>
        <v>18384.61538461538</v>
      </c>
      <c r="D50" s="170">
        <f>IFERROR(DATE(YEAR(B50),MONTH(B50),1)," ")</f>
        <v>43313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242</v>
      </c>
      <c r="C3" s="10" t="s">
        <v>243</v>
      </c>
      <c r="D3" s="10" t="s">
        <v>244</v>
      </c>
      <c r="E3" s="10" t="s">
        <v>245</v>
      </c>
      <c r="F3" s="10" t="s">
        <v>246</v>
      </c>
      <c r="G3" s="10" t="s">
        <v>247</v>
      </c>
      <c r="H3" s="10" t="s">
        <v>248</v>
      </c>
      <c r="I3" s="10" t="s">
        <v>249</v>
      </c>
      <c r="J3" s="10" t="s">
        <v>250</v>
      </c>
      <c r="K3" s="10" t="s">
        <v>251</v>
      </c>
      <c r="L3" s="10" t="s">
        <v>252</v>
      </c>
      <c r="M3" s="10" t="s">
        <v>253</v>
      </c>
      <c r="N3" s="10" t="s">
        <v>254</v>
      </c>
      <c r="O3" s="10" t="s">
        <v>255</v>
      </c>
      <c r="P3" s="10" t="s">
        <v>256</v>
      </c>
      <c r="Q3" s="10" t="s">
        <v>257</v>
      </c>
      <c r="R3" s="10" t="s">
        <v>258</v>
      </c>
      <c r="S3" s="10" t="s">
        <v>259</v>
      </c>
      <c r="T3" s="10" t="s">
        <v>260</v>
      </c>
      <c r="U3" s="10" t="s">
        <v>200</v>
      </c>
      <c r="V3" s="10" t="s">
        <v>198</v>
      </c>
      <c r="W3" s="10" t="s">
        <v>261</v>
      </c>
      <c r="X3" s="10" t="s">
        <v>262</v>
      </c>
      <c r="Y3" s="10" t="s">
        <v>263</v>
      </c>
      <c r="Z3" s="10" t="s">
        <v>264</v>
      </c>
      <c r="AA3" s="10" t="s">
        <v>265</v>
      </c>
      <c r="AB3" s="10" t="s">
        <v>266</v>
      </c>
      <c r="AC3" s="10" t="s">
        <v>267</v>
      </c>
      <c r="AD3" s="10" t="s">
        <v>268</v>
      </c>
      <c r="AE3" s="10" t="s">
        <v>269</v>
      </c>
      <c r="AF3" s="10" t="s">
        <v>270</v>
      </c>
      <c r="AG3" s="10" t="s">
        <v>271</v>
      </c>
      <c r="AH3" s="10" t="s">
        <v>272</v>
      </c>
      <c r="AI3" s="10" t="s">
        <v>273</v>
      </c>
    </row>
    <row r="4" spans="1:36" s="93" customFormat="1">
      <c r="A4" s="93" t="s">
        <v>274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105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98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109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214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121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304</v>
      </c>
      <c r="B24" s="21" t="s">
        <v>305</v>
      </c>
      <c r="C24" s="116" t="s">
        <v>276</v>
      </c>
      <c r="D24" s="115" t="s">
        <v>276</v>
      </c>
      <c r="E24" s="106">
        <v>0.05</v>
      </c>
      <c r="F24" s="106">
        <v>0.1</v>
      </c>
      <c r="G24" s="106">
        <v>0.2</v>
      </c>
      <c r="H24" s="116" t="s">
        <v>276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123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276</v>
      </c>
      <c r="J25" s="72" t="s">
        <v>276</v>
      </c>
      <c r="K25" s="72" t="s">
        <v>276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305</v>
      </c>
      <c r="C26" s="116" t="s">
        <v>276</v>
      </c>
      <c r="D26" s="115" t="s">
        <v>276</v>
      </c>
      <c r="E26" s="106">
        <v>0.2</v>
      </c>
      <c r="F26" s="106">
        <v>0.7</v>
      </c>
      <c r="G26" s="106">
        <v>2</v>
      </c>
      <c r="H26" s="116" t="s">
        <v>276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124</v>
      </c>
      <c r="B27" s="71" t="s">
        <v>305</v>
      </c>
      <c r="C27" s="116" t="s">
        <v>276</v>
      </c>
      <c r="D27" s="115" t="s">
        <v>276</v>
      </c>
      <c r="E27" s="106">
        <v>0.15</v>
      </c>
      <c r="F27" s="106">
        <v>0.25</v>
      </c>
      <c r="G27" s="106">
        <v>1</v>
      </c>
      <c r="H27" s="116" t="s">
        <v>276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305</v>
      </c>
      <c r="C28" s="116" t="s">
        <v>276</v>
      </c>
      <c r="D28" s="115" t="s">
        <v>276</v>
      </c>
      <c r="E28" s="106">
        <v>0.15</v>
      </c>
      <c r="F28" s="106">
        <v>0.25</v>
      </c>
      <c r="G28" s="106">
        <v>1</v>
      </c>
      <c r="H28" s="116" t="s">
        <v>276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305</v>
      </c>
      <c r="C29" s="31" t="s">
        <v>276</v>
      </c>
      <c r="D29" s="31" t="s">
        <v>276</v>
      </c>
      <c r="E29" s="24">
        <v>0.1</v>
      </c>
      <c r="F29" s="24">
        <v>0.2</v>
      </c>
      <c r="G29" s="24">
        <v>0</v>
      </c>
      <c r="H29" s="31" t="s">
        <v>276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109</v>
      </c>
      <c r="B41" s="191" t="s">
        <v>97</v>
      </c>
      <c r="C41" s="191" t="s">
        <v>92</v>
      </c>
    </row>
    <row r="42" spans="1:36">
      <c r="A42" t="s">
        <v>121</v>
      </c>
      <c r="B42" s="72">
        <v>450</v>
      </c>
      <c r="C42" s="72">
        <v>450</v>
      </c>
    </row>
    <row r="43" spans="1:36">
      <c r="A43" t="s">
        <v>304</v>
      </c>
      <c r="B43" s="72">
        <v>450</v>
      </c>
      <c r="C43" s="72">
        <v>250</v>
      </c>
    </row>
    <row r="44" spans="1:36">
      <c r="A44" t="s">
        <v>123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124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105</v>
      </c>
      <c r="E52" s="12" t="s">
        <v>105</v>
      </c>
      <c r="F52" s="12" t="s">
        <v>105</v>
      </c>
      <c r="G52" s="12" t="s">
        <v>321</v>
      </c>
      <c r="H52" s="12" t="s">
        <v>143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242</v>
      </c>
      <c r="E53" s="10" t="s">
        <v>201</v>
      </c>
      <c r="F53" s="10" t="s">
        <v>261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179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238</v>
      </c>
      <c r="J76" s="11" t="s">
        <v>355</v>
      </c>
      <c r="K76" s="11" t="s">
        <v>191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97</v>
      </c>
      <c r="F77" s="12" t="s">
        <v>97</v>
      </c>
      <c r="G77" s="12" t="s">
        <v>125</v>
      </c>
      <c r="H77" s="12" t="s">
        <v>143</v>
      </c>
      <c r="I77" s="12" t="s">
        <v>357</v>
      </c>
      <c r="J77" s="136" t="s">
        <v>99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358</v>
      </c>
      <c r="D78" s="133"/>
      <c r="E78" s="12" t="s">
        <v>91</v>
      </c>
      <c r="F78" s="12" t="s">
        <v>359</v>
      </c>
      <c r="G78" s="12" t="s">
        <v>122</v>
      </c>
      <c r="H78" s="12" t="s">
        <v>322</v>
      </c>
      <c r="I78" s="12" t="s">
        <v>360</v>
      </c>
      <c r="J78" s="70" t="s">
        <v>90</v>
      </c>
      <c r="K78" s="12" t="s">
        <v>97</v>
      </c>
      <c r="AJ78" s="12"/>
    </row>
    <row r="79" spans="1:36">
      <c r="B79" s="176">
        <v>10</v>
      </c>
      <c r="C79" s="12" t="s">
        <v>104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179</v>
      </c>
      <c r="J79" s="70" t="s">
        <v>106</v>
      </c>
      <c r="K79" s="12" t="s">
        <v>97</v>
      </c>
      <c r="AJ79" s="12"/>
    </row>
    <row r="80" spans="1:36">
      <c r="B80" s="176">
        <v>20</v>
      </c>
      <c r="C80" s="12" t="s">
        <v>100</v>
      </c>
      <c r="D80" s="12">
        <f>D79+1</f>
        <v>2</v>
      </c>
      <c r="E80" s="12" t="s">
        <v>103</v>
      </c>
      <c r="F80" s="12" t="s">
        <v>93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107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167</v>
      </c>
      <c r="D87" s="12">
        <f>D86+1</f>
        <v>9</v>
      </c>
    </row>
    <row r="88" spans="1:36">
      <c r="B88" s="176">
        <v>99.99999999999999</v>
      </c>
      <c r="C88" s="12" t="s">
        <v>166</v>
      </c>
      <c r="D88" s="12">
        <f>D87+1</f>
        <v>10</v>
      </c>
    </row>
    <row r="89" spans="1:36">
      <c r="C89" s="12" t="s">
        <v>165</v>
      </c>
      <c r="D89" s="12">
        <f>D88+1</f>
        <v>11</v>
      </c>
    </row>
    <row r="90" spans="1:36">
      <c r="C90" s="12" t="s">
        <v>164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