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<sst xmlns="http://schemas.openxmlformats.org/spreadsheetml/2006/main" uniqueCount="374">
  <si>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</si>
  <si>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</si>
  <si>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</si>
  <si>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</si>
  <si>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</si>
  <si>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</si>
  <si>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</si>
  <si>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</si>
  <si>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</si>
  <si>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</si>
  <si>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</si>
  <si>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</si>
  <si>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</si>
  <si>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</si>
  <si>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</si>
  <si>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</si>
  <si>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</si>
  <si>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</si>
  <si>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</si>
  <si>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</si>
  <si>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</si>
  <si>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</si>
  <si>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</si>
  <si>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</si>
  <si>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</si>
  <si>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</si>
  <si>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</si>
  <si>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</si>
  <si>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</si>
  <si>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</si>
  <si>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</si>
  <si>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</si>
  <si>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</si>
  <si>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</si>
  <si>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</si>
  <si>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</si>
  <si>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</si>
  <si>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</si>
  <si>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</si>
  <si>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</si>
  <si>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</si>
  <si>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</si>
  <si>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</si>
  <si>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</si>
  <si>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</si>
  <si>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</si>
  <si>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</si>
  <si>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</si>
  <si>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</si>
  <si>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</si>
  <si>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</si>
  <si>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</si>
  <si>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</si>
  <si>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</si>
  <si>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</si>
  <si>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</si>
  <si>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</si>
  <si>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</si>
  <si>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</si>
  <si>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</si>
  <si>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</si>
  <si>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</si>
  <si>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</si>
  <si>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</si>
  <si>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</si>
  <si>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</si>
  <si>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</si>
  <si>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</si>
  <si>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</si>
  <si>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</si>
  <si>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</si>
  <si>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</si>
  <si>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</si>
  <si>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</si>
  <si>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</si>
  <si>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</si>
  <si>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</si>
  <si>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</si>
  <si>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</si>
  <si>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</si>
  <si>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</si>
  <si>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</si>
  <si>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</si>
  <si>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</si>
  <si>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</si>
  <si>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</si>
  <si>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</si>
  <si>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</si>
  <si>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</si>
  <si>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</si>
  <si>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</si>
  <si>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</si>
  <si>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</si>
  <si>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</si>
  <si>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</si>
  <si>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</si>
  <si>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</si>
  <si>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</si>
  <si>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</si>
  <si>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</si>
  <si>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</si>
  <si>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</si>
  <si>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</si>
  <si>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</si>
  <si>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</si>
  <si>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</si>
  <si>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</si>
  <si>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</si>
  <si>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</si>
  <si>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</si>
  <si>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</si>
  <si>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</si>
  <si>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</si>
  <si>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</si>
  <si>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Animal selling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</si>
  <si>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</si>
  <si>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</si>
  <si>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</si>
  <si>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</si>
  <si>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</si>
  <si>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</si>
  <si>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</si>
  <si>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 xml:space="preserve">Construction </t>
  </si>
  <si>
    <t>June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</si>
  <si>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</si>
  <si>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</si>
  <si>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</si>
  <si>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</si>
  <si>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</si>
  <si>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</si>
  <si>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</si>
  <si>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</si>
  <si>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</si>
  <si>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</si>
  <si>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</si>
  <si>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</si>
  <si>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</si>
  <si>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</si>
  <si>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</si>
  <si>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</si>
  <si>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</si>
  <si>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</si>
  <si>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</si>
  <si>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</si>
  <si>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1/7/2016</t>
  </si>
  <si>
    <t xml:space="preserve">Musoni </t>
  </si>
  <si>
    <t xml:space="preserve">cleared </t>
  </si>
  <si>
    <t>4/16/2015</t>
  </si>
  <si>
    <t xml:space="preserve">Family Bank </t>
  </si>
  <si>
    <t>8/8/2016</t>
  </si>
  <si>
    <t xml:space="preserve">Mobile loan 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</si>
  <si>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</si>
  <si>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</si>
  <si>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</si>
  <si>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</si>
  <si>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</si>
  <si>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</si>
  <si>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</si>
  <si>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</si>
  <si>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</si>
  <si>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</si>
  <si>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</si>
  <si>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</si>
  <si>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2017/2/23</t>
  </si>
  <si>
    <t>Loan terms</t>
  </si>
  <si>
    <t>Expected disbursement date</t>
  </si>
  <si>
    <t>Expected first repayment date</t>
  </si>
  <si>
    <t>2017/3/23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</si>
  <si>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</si>
  <si>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</si>
  <si>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</si>
  <si>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</si>
  <si>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</si>
  <si>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</si>
  <si>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</si>
  <si>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</si>
  <si>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</si>
  <si>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</si>
  <si>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</si>
  <si>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</si>
  <si>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</si>
  <si>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</si>
  <si>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</si>
  <si>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</si>
  <si>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</si>
  <si>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</si>
  <si>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</si>
  <si>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</si>
  <si>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</si>
  <si>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</si>
  <si>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</si>
  <si>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</si>
  <si>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</si>
  <si>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</si>
  <si>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</si>
  <si>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</si>
  <si>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</si>
  <si>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</si>
  <si>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</si>
  <si>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</si>
  <si>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</si>
  <si>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</si>
  <si>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</si>
  <si>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</si>
  <si>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</si>
  <si>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</si>
  <si>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</si>
  <si>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</si>
  <si>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</si>
  <si>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</si>
  <si>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</si>
  <si>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</si>
  <si>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</si>
  <si>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</si>
  <si>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</si>
  <si>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</si>
  <si>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</si>
  <si>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</si>
  <si>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</si>
  <si>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</si>
  <si>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</si>
  <si>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</si>
  <si>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</si>
  <si>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</si>
  <si>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</si>
  <si>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</si>
  <si>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</si>
  <si>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</si>
  <si>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</si>
  <si>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</si>
  <si>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</si>
  <si>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</si>
  <si>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</si>
  <si>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</si>
  <si>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</si>
  <si>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</si>
  <si>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</si>
  <si>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</si>
  <si>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</si>
  <si>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</si>
  <si>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</si>
  <si>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</si>
  <si>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</si>
  <si>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</si>
  <si>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</si>
  <si>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</si>
  <si>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</si>
  <si>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</si>
  <si>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</si>
  <si>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</si>
  <si>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</si>
  <si>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</si>
  <si>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</si>
  <si>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</si>
  <si>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</si>
  <si>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</si>
  <si>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</si>
  <si>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</si>
  <si>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</si>
  <si>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</si>
  <si>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</si>
  <si>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</si>
  <si>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</si>
  <si>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</si>
  <si>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</si>
  <si>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</si>
  <si>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</si>
  <si>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</si>
  <si>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</si>
  <si>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</si>
  <si>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</si>
  <si>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</si>
  <si>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</si>
  <si>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</si>
  <si>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</si>
  <si>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</si>
  <si>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</si>
  <si>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</si>
  <si>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</si>
  <si>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</si>
  <si>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</si>
  <si>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</si>
  <si>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</si>
  <si>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</si>
  <si>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</si>
  <si>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</si>
  <si>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</si>
  <si>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</si>
  <si>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</si>
  <si>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</si>
  <si>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</si>
  <si>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</si>
  <si>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</si>
  <si>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</si>
  <si>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</si>
  <si>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</si>
  <si>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</si>
  <si>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</si>
  <si>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</si>
  <si>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</si>
  <si>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</si>
  <si>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</si>
  <si>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</si>
  <si>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</si>
  <si>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</si>
  <si>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</si>
  <si>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</si>
  <si>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</si>
  <si>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</si>
  <si>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</si>
  <si>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</si>
  <si>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</si>
  <si>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</si>
  <si>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</si>
  <si>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</si>
  <si>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</si>
  <si>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</si>
  <si>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</si>
  <si>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</si>
  <si>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</si>
  <si>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</si>
  <si>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</si>
  <si>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</si>
  <si>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</si>
  <si>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</si>
  <si>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</si>
  <si>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</si>
  <si>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</si>
  <si>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</si>
  <si>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</si>
  <si>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</si>
  <si>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</si>
  <si>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</si>
  <si>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</si>
  <si>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</si>
  <si>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</si>
  <si>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</si>
  <si>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</si>
  <si>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</si>
  <si>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</si>
  <si>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</si>
  <si>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</si>
  <si>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</si>
  <si>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</si>
  <si>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</si>
  <si>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</si>
  <si>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</si>
  <si>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</si>
  <si>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</si>
  <si>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</si>
  <si>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</si>
  <si>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</si>
  <si>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</si>
  <si>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</si>
  <si>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</si>
  <si>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</si>
  <si>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</si>
  <si>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</si>
  <si>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</si>
  <si>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</si>
  <si>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</si>
  <si>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</si>
  <si>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</si>
  <si>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</si>
  <si>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</si>
  <si>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</si>
  <si>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</si>
  <si>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</si>
  <si>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</si>
  <si>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NGO</t>
  </si>
  <si>
    <t>April</t>
  </si>
  <si>
    <t>May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</si>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</sst>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Animal selling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0.2090591184376672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0.03756476683937824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22100</v>
      </c>
    </row>
    <row r="17" spans="1:7">
      <c r="B17" s="1" t="s">
        <v>11</v>
      </c>
      <c r="C17" s="36">
        <f>SUM(Output!B6:M6)</f>
        <v>635064.8720611259</v>
      </c>
    </row>
    <row r="18" spans="1:7">
      <c r="B18" s="1" t="s">
        <v>12</v>
      </c>
      <c r="C18" s="36">
        <f>MIN(Output!B6:M6)</f>
        <v>-85561.77067006254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393837.2893808756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51000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15142.22932993746</v>
      </c>
      <c r="C6" s="51">
        <f>C30-C88</f>
        <v>-85561.77067006254</v>
      </c>
      <c r="D6" s="51">
        <f>D30-D88</f>
        <v>10438.22932993746</v>
      </c>
      <c r="E6" s="51">
        <f>E30-E88</f>
        <v>-6761.770670062542</v>
      </c>
      <c r="F6" s="51">
        <f>F30-F88</f>
        <v>-29561.77067006254</v>
      </c>
      <c r="G6" s="51">
        <f>G30-G88</f>
        <v>393837.2893808756</v>
      </c>
      <c r="H6" s="51">
        <f>H30-H88</f>
        <v>15142.22932993746</v>
      </c>
      <c r="I6" s="51">
        <f>I30-I88</f>
        <v>-85561.77067006254</v>
      </c>
      <c r="J6" s="51">
        <f>J30-J88</f>
        <v>10438.22932993746</v>
      </c>
      <c r="K6" s="51">
        <f>K30-K88</f>
        <v>-6761.770670062542</v>
      </c>
      <c r="L6" s="51">
        <f>L30-L88</f>
        <v>10438.22932993746</v>
      </c>
      <c r="M6" s="51">
        <f>M30-M88</f>
        <v>393837.2893808756</v>
      </c>
      <c r="N6" s="51">
        <f>N30-N88</f>
        <v>15142.22932993746</v>
      </c>
      <c r="O6" s="51">
        <f>O30-O88</f>
        <v>-85561.77067006254</v>
      </c>
      <c r="P6" s="51">
        <f>P30-P88</f>
        <v>10438.22932993746</v>
      </c>
      <c r="Q6" s="51">
        <f>Q30-Q88</f>
        <v>-6761.770670062542</v>
      </c>
      <c r="R6" s="51">
        <f>R30-R88</f>
        <v>10438.22932993746</v>
      </c>
      <c r="S6" s="51">
        <f>S30-S88</f>
        <v>393837.2893808756</v>
      </c>
      <c r="T6" s="51">
        <f>T30-T88</f>
        <v>15142.22932993746</v>
      </c>
      <c r="U6" s="51">
        <f>U30-U88</f>
        <v>-85561.77067006254</v>
      </c>
      <c r="V6" s="51">
        <f>V30-V88</f>
        <v>10438.22932993746</v>
      </c>
      <c r="W6" s="51">
        <f>W30-W88</f>
        <v>-6761.770670062542</v>
      </c>
      <c r="X6" s="51">
        <f>X30-X88</f>
        <v>10438.22932993746</v>
      </c>
      <c r="Y6" s="51">
        <f>Y30-Y88</f>
        <v>393837.2893808756</v>
      </c>
      <c r="Z6" s="51">
        <f>SUMIF($B$13:$Y$13,"Yes",B6:Y6)</f>
        <v>650207.1013910634</v>
      </c>
      <c r="AA6" s="51">
        <f>AA30-AA88</f>
        <v>635064.8720611259</v>
      </c>
      <c r="AB6" s="51">
        <f>AB30-AB88</f>
        <v>1310129.744122252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500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0</v>
      </c>
      <c r="J7" s="80">
        <f>IF(ISERROR(VLOOKUP(MONTH(J5),Inputs!$D$66:$D$71,1,0)),"",INDEX(Inputs!$B$66:$B$71,MATCH(MONTH(Output!J5),Inputs!$D$66:$D$71,0))-INDEX(Inputs!$C$66:$C$71,MATCH(MONTH(Output!J5),Inputs!$D$66:$D$71,0)))</f>
        <v>0</v>
      </c>
      <c r="K7" s="80">
        <f>IF(ISERROR(VLOOKUP(MONTH(K5),Inputs!$D$66:$D$71,1,0)),"",INDEX(Inputs!$B$66:$B$71,MATCH(MONTH(Output!K5),Inputs!$D$66:$D$71,0))-INDEX(Inputs!$C$66:$C$71,MATCH(MONTH(Output!K5),Inputs!$D$66:$D$71,0)))</f>
        <v>500</v>
      </c>
      <c r="L7" s="80">
        <f>IF(ISERROR(VLOOKUP(MONTH(L5),Inputs!$D$66:$D$71,1,0)),"",INDEX(Inputs!$B$66:$B$71,MATCH(MONTH(Output!L5),Inputs!$D$66:$D$71,0))-INDEX(Inputs!$C$66:$C$71,MATCH(MONTH(Output!L5),Inputs!$D$66:$D$71,0)))</f>
        <v>800</v>
      </c>
      <c r="M7" s="80">
        <f>IF(ISERROR(VLOOKUP(MONTH(M5),Inputs!$D$66:$D$71,1,0)),"",INDEX(Inputs!$B$66:$B$71,MATCH(MONTH(Output!M5),Inputs!$D$66:$D$71,0))-INDEX(Inputs!$C$66:$C$71,MATCH(MONTH(Output!M5),Inputs!$D$66:$D$71,0)))</f>
        <v>200</v>
      </c>
      <c r="N7" s="80">
        <f>IF(ISERROR(VLOOKUP(MONTH(N5),Inputs!$D$66:$D$71,1,0)),"",INDEX(Inputs!$B$66:$B$71,MATCH(MONTH(Output!N5),Inputs!$D$66:$D$71,0))-INDEX(Inputs!$C$66:$C$71,MATCH(MONTH(Output!N5),Inputs!$D$66:$D$71,0)))</f>
        <v>500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0</v>
      </c>
      <c r="V7" s="80">
        <f>IF(ISERROR(VLOOKUP(MONTH(V5),Inputs!$D$66:$D$71,1,0)),"",INDEX(Inputs!$B$66:$B$71,MATCH(MONTH(Output!V5),Inputs!$D$66:$D$71,0))-INDEX(Inputs!$C$66:$C$71,MATCH(MONTH(Output!V5),Inputs!$D$66:$D$71,0)))</f>
        <v>0</v>
      </c>
      <c r="W7" s="80">
        <f>IF(ISERROR(VLOOKUP(MONTH(W5),Inputs!$D$66:$D$71,1,0)),"",INDEX(Inputs!$B$66:$B$71,MATCH(MONTH(Output!W5),Inputs!$D$66:$D$71,0))-INDEX(Inputs!$C$66:$C$71,MATCH(MONTH(Output!W5),Inputs!$D$66:$D$71,0)))</f>
        <v>500</v>
      </c>
      <c r="X7" s="80">
        <f>IF(ISERROR(VLOOKUP(MONTH(X5),Inputs!$D$66:$D$71,1,0)),"",INDEX(Inputs!$B$66:$B$71,MATCH(MONTH(Output!X5),Inputs!$D$66:$D$71,0))-INDEX(Inputs!$C$66:$C$71,MATCH(MONTH(Output!X5),Inputs!$D$66:$D$71,0)))</f>
        <v>800</v>
      </c>
      <c r="Y7" s="80">
        <f>IF(ISERROR(VLOOKUP(MONTH(Y5),Inputs!$D$66:$D$71,1,0)),"",INDEX(Inputs!$B$66:$B$71,MATCH(MONTH(Output!Y5),Inputs!$D$66:$D$71,0))-INDEX(Inputs!$C$66:$C$71,MATCH(MONTH(Output!Y5),Inputs!$D$66:$D$71,0)))</f>
        <v>200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2100</v>
      </c>
      <c r="D10" s="37">
        <f>SUMPRODUCT((Calculations!$D$33:$D$84=Output!D5)+0,Calculations!$C$33:$C$84)</f>
        <v>2100</v>
      </c>
      <c r="E10" s="37">
        <f>SUMPRODUCT((Calculations!$D$33:$D$84=Output!E5)+0,Calculations!$C$33:$C$84)</f>
        <v>2100</v>
      </c>
      <c r="F10" s="37">
        <f>SUMPRODUCT((Calculations!$D$33:$D$84=Output!F5)+0,Calculations!$C$33:$C$84)</f>
        <v>2100</v>
      </c>
      <c r="G10" s="37">
        <f>SUMPRODUCT((Calculations!$D$33:$D$84=Output!G5)+0,Calculations!$C$33:$C$84)</f>
        <v>2100</v>
      </c>
      <c r="H10" s="37">
        <f>SUMPRODUCT((Calculations!$D$33:$D$84=Output!H5)+0,Calculations!$C$33:$C$84)</f>
        <v>22100</v>
      </c>
      <c r="I10" s="37">
        <f>SUMPRODUCT((Calculations!$D$33:$D$84=Output!I5)+0,Calculations!$C$33:$C$84)</f>
        <v>22100</v>
      </c>
      <c r="J10" s="37">
        <f>SUMPRODUCT((Calculations!$D$33:$D$84=Output!J5)+0,Calculations!$C$33:$C$84)</f>
        <v>22100</v>
      </c>
      <c r="K10" s="37">
        <f>SUMPRODUCT((Calculations!$D$33:$D$84=Output!K5)+0,Calculations!$C$33:$C$84)</f>
        <v>22100</v>
      </c>
      <c r="L10" s="37">
        <f>SUMPRODUCT((Calculations!$D$33:$D$84=Output!L5)+0,Calculations!$C$33:$C$84)</f>
        <v>22100</v>
      </c>
      <c r="M10" s="37">
        <f>SUMPRODUCT((Calculations!$D$33:$D$84=Output!M5)+0,Calculations!$C$33:$C$84)</f>
        <v>22100</v>
      </c>
      <c r="N10" s="37">
        <f>SUMPRODUCT((Calculations!$D$33:$D$84=Output!N5)+0,Calculations!$C$33:$C$84)</f>
        <v>22100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165200</v>
      </c>
      <c r="AA10" s="37">
        <f>SUM(B10:M10)</f>
        <v>143100</v>
      </c>
      <c r="AB10" s="37">
        <f>SUM(B10:Y10)</f>
        <v>165200</v>
      </c>
    </row>
    <row r="11" spans="1:30" customHeight="1" ht="15.75">
      <c r="A11" s="43" t="s">
        <v>31</v>
      </c>
      <c r="B11" s="80">
        <f>B6+B9-B10</f>
        <v>155142.2293299375</v>
      </c>
      <c r="C11" s="80">
        <f>C6+C9-C10</f>
        <v>-87661.77067006254</v>
      </c>
      <c r="D11" s="80">
        <f>D6+D9-D10</f>
        <v>8338.229329937458</v>
      </c>
      <c r="E11" s="80">
        <f>E6+E9-E10</f>
        <v>-8861.770670062542</v>
      </c>
      <c r="F11" s="80">
        <f>F6+F9-F10</f>
        <v>-31661.77067006254</v>
      </c>
      <c r="G11" s="80">
        <f>G6+G9-G10</f>
        <v>391737.2893808756</v>
      </c>
      <c r="H11" s="80">
        <f>H6+H9-H10</f>
        <v>-6957.770670062542</v>
      </c>
      <c r="I11" s="80">
        <f>I6+I9-I10</f>
        <v>-107661.7706700625</v>
      </c>
      <c r="J11" s="80">
        <f>J6+J9-J10</f>
        <v>-11661.77067006254</v>
      </c>
      <c r="K11" s="80">
        <f>K6+K9-K10</f>
        <v>-28861.77067006254</v>
      </c>
      <c r="L11" s="80">
        <f>L6+L9-L10</f>
        <v>-11661.77067006254</v>
      </c>
      <c r="M11" s="80">
        <f>M6+M9-M10</f>
        <v>371737.2893808756</v>
      </c>
      <c r="N11" s="80">
        <f>N6+N9-N10</f>
        <v>-6957.770670062542</v>
      </c>
      <c r="O11" s="80">
        <f>O6+O9-O10</f>
        <v>-85561.77067006254</v>
      </c>
      <c r="P11" s="80">
        <f>P6+P9-P10</f>
        <v>10438.22932993746</v>
      </c>
      <c r="Q11" s="80">
        <f>Q6+Q9-Q10</f>
        <v>-6761.770670062542</v>
      </c>
      <c r="R11" s="80">
        <f>R6+R9-R10</f>
        <v>10438.22932993746</v>
      </c>
      <c r="S11" s="80">
        <f>S6+S9-S10</f>
        <v>393837.2893808756</v>
      </c>
      <c r="T11" s="80">
        <f>T6+T9-T10</f>
        <v>15142.22932993746</v>
      </c>
      <c r="U11" s="80">
        <f>U6+U9-U10</f>
        <v>-85561.77067006254</v>
      </c>
      <c r="V11" s="80">
        <f>V6+V9-V10</f>
        <v>10438.22932993746</v>
      </c>
      <c r="W11" s="80">
        <f>W6+W9-W10</f>
        <v>-6761.770670062542</v>
      </c>
      <c r="X11" s="80">
        <f>X6+X9-X10</f>
        <v>10438.22932993746</v>
      </c>
      <c r="Y11" s="80">
        <f>Y6+Y9-Y10</f>
        <v>393837.2893808756</v>
      </c>
      <c r="Z11" s="85">
        <f>SUMIF($B$13:$Y$13,"Yes",B11:Y11)</f>
        <v>625007.1013910635</v>
      </c>
      <c r="AA11" s="80">
        <f>SUM(B11:M11)</f>
        <v>631964.8720611261</v>
      </c>
      <c r="AB11" s="46">
        <f>SUM(B11:Y11)</f>
        <v>1284929.744122252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0.03018088757168556</v>
      </c>
      <c r="D12" s="82">
        <f>IF(D13="Yes",IF(SUM($B$10:D10)/(SUM($B$6:D6)+SUM($B$9:D9))&lt;0,999.99,SUM($B$10:D10)/(SUM($B$6:D6)+SUM($B$9:D9))),"")</f>
        <v>0.05248773887088383</v>
      </c>
      <c r="E12" s="82">
        <f>IF(E13="Yes",IF(SUM($B$10:E10)/(SUM($B$6:E6)+SUM($B$9:E9))&lt;0,999.99,SUM($B$10:E10)/(SUM($B$6:E6)+SUM($B$9:E9))),"")</f>
        <v>0.08599870470254609</v>
      </c>
      <c r="F12" s="82">
        <f>IF(F13="Yes",IF(SUM($B$10:F10)/(SUM($B$6:F6)+SUM($B$9:F9))&lt;0,999.99,SUM($B$10:F10)/(SUM($B$6:F6)+SUM($B$9:F9))),"")</f>
        <v>0.192241030047215</v>
      </c>
      <c r="G12" s="82">
        <f>IF(G13="Yes",IF(SUM($B$10:G10)/(SUM($B$6:G6)+SUM($B$9:G9))&lt;0,999.99,SUM($B$10:G10)/(SUM($B$6:G6)+SUM($B$9:G9))),"")</f>
        <v>0.02399822078394788</v>
      </c>
      <c r="H12" s="82">
        <f>IF(H13="Yes",IF(SUM($B$10:H10)/(SUM($B$6:H6)+SUM($B$9:H9))&lt;0,999.99,SUM($B$10:H10)/(SUM($B$6:H6)+SUM($B$9:H9))),"")</f>
        <v>0.07201640050705743</v>
      </c>
      <c r="I12" s="82">
        <f>IF(I13="Yes",IF(SUM($B$10:I10)/(SUM($B$6:I6)+SUM($B$9:I9))&lt;0,999.99,SUM($B$10:I10)/(SUM($B$6:I6)+SUM($B$9:I9))),"")</f>
        <v>0.149000486747067</v>
      </c>
      <c r="J12" s="82">
        <f>IF(J13="Yes",IF(SUM($B$10:J10)/(SUM($B$6:J6)+SUM($B$9:J9))&lt;0,999.99,SUM($B$10:J10)/(SUM($B$6:J6)+SUM($B$9:J9))),"")</f>
        <v>0.2034161603922422</v>
      </c>
      <c r="K12" s="82">
        <f>IF(K13="Yes",IF(SUM($B$10:K10)/(SUM($B$6:K6)+SUM($B$9:K9))&lt;0,999.99,SUM($B$10:K10)/(SUM($B$6:K6)+SUM($B$9:K9))),"")</f>
        <v>0.2667282625738223</v>
      </c>
      <c r="L12" s="82">
        <f>IF(L13="Yes",IF(SUM($B$10:L10)/(SUM($B$6:L6)+SUM($B$9:L9))&lt;0,999.99,SUM($B$10:L10)/(SUM($B$6:L6)+SUM($B$9:L9))),"")</f>
        <v>0.3173957118981267</v>
      </c>
      <c r="M12" s="82">
        <f>IF(M13="Yes",IF(SUM($B$10:M10)/(SUM($B$6:M6)+SUM($B$9:M9))&lt;0,999.99,SUM($B$10:M10)/(SUM($B$6:M6)+SUM($B$9:M9))),"")</f>
        <v>0.1846297066972664</v>
      </c>
      <c r="N12" s="82">
        <f>IF(N13="Yes",IF(SUM($B$10:N10)/(SUM($B$6:N6)+SUM($B$9:N9))&lt;0,999.99,SUM($B$10:N10)/(SUM($B$6:N6)+SUM($B$9:N9))),"")</f>
        <v>0.2090591184376672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383399.0600509382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383399.0600509382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383399.0600509382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383399.0600509382</v>
      </c>
      <c r="Z18" s="36">
        <f>SUMIF($B$13:$Y$13,"Yes",B18:Y18)</f>
        <v>766798.1201018763</v>
      </c>
      <c r="AA18" s="36">
        <f>SUM(B18:M18)</f>
        <v>766798.1201018763</v>
      </c>
      <c r="AB18" s="36">
        <f>SUM(B18:Y18)</f>
        <v>1533596.240203753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41062.5</v>
      </c>
      <c r="C24" s="36">
        <f>IFERROR(Calculations!$P14/12,"")</f>
        <v>41062.5</v>
      </c>
      <c r="D24" s="36">
        <f>IFERROR(Calculations!$P14/12,"")</f>
        <v>41062.5</v>
      </c>
      <c r="E24" s="36">
        <f>IFERROR(Calculations!$P14/12,"")</f>
        <v>41062.5</v>
      </c>
      <c r="F24" s="36">
        <f>IFERROR(Calculations!$P14/12,"")</f>
        <v>41062.5</v>
      </c>
      <c r="G24" s="36">
        <f>IFERROR(Calculations!$P14/12,"")</f>
        <v>41062.5</v>
      </c>
      <c r="H24" s="36">
        <f>IFERROR(Calculations!$P14/12,"")</f>
        <v>41062.5</v>
      </c>
      <c r="I24" s="36">
        <f>IFERROR(Calculations!$P14/12,"")</f>
        <v>41062.5</v>
      </c>
      <c r="J24" s="36">
        <f>IFERROR(Calculations!$P14/12,"")</f>
        <v>41062.5</v>
      </c>
      <c r="K24" s="36">
        <f>IFERROR(Calculations!$P14/12,"")</f>
        <v>41062.5</v>
      </c>
      <c r="L24" s="36">
        <f>IFERROR(Calculations!$P14/12,"")</f>
        <v>41062.5</v>
      </c>
      <c r="M24" s="36">
        <f>IFERROR(Calculations!$P14/12,"")</f>
        <v>41062.5</v>
      </c>
      <c r="N24" s="36">
        <f>IFERROR(Calculations!$P14/12,"")</f>
        <v>41062.5</v>
      </c>
      <c r="O24" s="36">
        <f>IFERROR(Calculations!$P14/12,"")</f>
        <v>41062.5</v>
      </c>
      <c r="P24" s="36">
        <f>IFERROR(Calculations!$P14/12,"")</f>
        <v>41062.5</v>
      </c>
      <c r="Q24" s="36">
        <f>IFERROR(Calculations!$P14/12,"")</f>
        <v>41062.5</v>
      </c>
      <c r="R24" s="36">
        <f>IFERROR(Calculations!$P14/12,"")</f>
        <v>41062.5</v>
      </c>
      <c r="S24" s="36">
        <f>IFERROR(Calculations!$P14/12,"")</f>
        <v>41062.5</v>
      </c>
      <c r="T24" s="36">
        <f>IFERROR(Calculations!$P14/12,"")</f>
        <v>41062.5</v>
      </c>
      <c r="U24" s="36">
        <f>IFERROR(Calculations!$P14/12,"")</f>
        <v>41062.5</v>
      </c>
      <c r="V24" s="36">
        <f>IFERROR(Calculations!$P14/12,"")</f>
        <v>41062.5</v>
      </c>
      <c r="W24" s="36">
        <f>IFERROR(Calculations!$P14/12,"")</f>
        <v>41062.5</v>
      </c>
      <c r="X24" s="36">
        <f>IFERROR(Calculations!$P14/12,"")</f>
        <v>41062.5</v>
      </c>
      <c r="Y24" s="36">
        <f>IFERROR(Calculations!$P14/12,"")</f>
        <v>41062.5</v>
      </c>
      <c r="Z24" s="36">
        <f>SUMIF($B$13:$Y$13,"Yes",B24:Y24)</f>
        <v>533812.5</v>
      </c>
      <c r="AA24" s="36">
        <f>SUM(B24:M24)</f>
        <v>492750</v>
      </c>
      <c r="AB24" s="46">
        <f>SUM(B24:Y24)</f>
        <v>985500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60000</v>
      </c>
      <c r="C29" s="37">
        <f>Inputs!$B$30</f>
        <v>60000</v>
      </c>
      <c r="D29" s="37">
        <f>Inputs!$B$30</f>
        <v>60000</v>
      </c>
      <c r="E29" s="37">
        <f>Inputs!$B$30</f>
        <v>60000</v>
      </c>
      <c r="F29" s="37">
        <f>Inputs!$B$30</f>
        <v>60000</v>
      </c>
      <c r="G29" s="37">
        <f>Inputs!$B$30</f>
        <v>60000</v>
      </c>
      <c r="H29" s="37">
        <f>Inputs!$B$30</f>
        <v>60000</v>
      </c>
      <c r="I29" s="37">
        <f>Inputs!$B$30</f>
        <v>60000</v>
      </c>
      <c r="J29" s="37">
        <f>Inputs!$B$30</f>
        <v>60000</v>
      </c>
      <c r="K29" s="37">
        <f>Inputs!$B$30</f>
        <v>60000</v>
      </c>
      <c r="L29" s="37">
        <f>Inputs!$B$30</f>
        <v>60000</v>
      </c>
      <c r="M29" s="37">
        <f>Inputs!$B$30</f>
        <v>60000</v>
      </c>
      <c r="N29" s="37">
        <f>Inputs!$B$30</f>
        <v>60000</v>
      </c>
      <c r="O29" s="37">
        <f>Inputs!$B$30</f>
        <v>60000</v>
      </c>
      <c r="P29" s="37">
        <f>Inputs!$B$30</f>
        <v>60000</v>
      </c>
      <c r="Q29" s="37">
        <f>Inputs!$B$30</f>
        <v>60000</v>
      </c>
      <c r="R29" s="37">
        <f>Inputs!$B$30</f>
        <v>60000</v>
      </c>
      <c r="S29" s="37">
        <f>Inputs!$B$30</f>
        <v>60000</v>
      </c>
      <c r="T29" s="37">
        <f>Inputs!$B$30</f>
        <v>60000</v>
      </c>
      <c r="U29" s="37">
        <f>Inputs!$B$30</f>
        <v>60000</v>
      </c>
      <c r="V29" s="37">
        <f>Inputs!$B$30</f>
        <v>60000</v>
      </c>
      <c r="W29" s="37">
        <f>Inputs!$B$30</f>
        <v>60000</v>
      </c>
      <c r="X29" s="37">
        <f>Inputs!$B$30</f>
        <v>60000</v>
      </c>
      <c r="Y29" s="37">
        <f>Inputs!$B$30</f>
        <v>60000</v>
      </c>
      <c r="Z29" s="37">
        <f>SUMIF($B$13:$Y$13,"Yes",B29:Y29)</f>
        <v>780000</v>
      </c>
      <c r="AA29" s="37">
        <f>SUM(B29:M29)</f>
        <v>720000</v>
      </c>
      <c r="AB29" s="37">
        <f>SUM(B29:Y29)</f>
        <v>1440000</v>
      </c>
    </row>
    <row r="30" spans="1:30" customHeight="1" ht="15.75">
      <c r="A30" s="1" t="s">
        <v>37</v>
      </c>
      <c r="B30" s="19">
        <f>SUM(B18:B29)</f>
        <v>101062.5</v>
      </c>
      <c r="C30" s="19">
        <f>SUM(C18:C29)</f>
        <v>101062.5</v>
      </c>
      <c r="D30" s="19">
        <f>SUM(D18:D29)</f>
        <v>101062.5</v>
      </c>
      <c r="E30" s="19">
        <f>SUM(E18:E29)</f>
        <v>101062.5</v>
      </c>
      <c r="F30" s="19">
        <f>SUM(F18:F29)</f>
        <v>101062.5</v>
      </c>
      <c r="G30" s="19">
        <f>SUM(G18:G29)</f>
        <v>484461.5600509382</v>
      </c>
      <c r="H30" s="19">
        <f>SUM(H18:H29)</f>
        <v>101062.5</v>
      </c>
      <c r="I30" s="19">
        <f>SUM(I18:I29)</f>
        <v>101062.5</v>
      </c>
      <c r="J30" s="19">
        <f>SUM(J18:J29)</f>
        <v>101062.5</v>
      </c>
      <c r="K30" s="19">
        <f>SUM(K18:K29)</f>
        <v>101062.5</v>
      </c>
      <c r="L30" s="19">
        <f>SUM(L18:L29)</f>
        <v>101062.5</v>
      </c>
      <c r="M30" s="19">
        <f>SUM(M18:M29)</f>
        <v>484461.5600509382</v>
      </c>
      <c r="N30" s="19">
        <f>SUM(N18:N29)</f>
        <v>101062.5</v>
      </c>
      <c r="O30" s="19">
        <f>SUM(O18:O29)</f>
        <v>101062.5</v>
      </c>
      <c r="P30" s="19">
        <f>SUM(P18:P29)</f>
        <v>101062.5</v>
      </c>
      <c r="Q30" s="19">
        <f>SUM(Q18:Q29)</f>
        <v>101062.5</v>
      </c>
      <c r="R30" s="19">
        <f>SUM(R18:R29)</f>
        <v>101062.5</v>
      </c>
      <c r="S30" s="19">
        <f>SUM(S18:S29)</f>
        <v>484461.5600509382</v>
      </c>
      <c r="T30" s="19">
        <f>SUM(T18:T29)</f>
        <v>101062.5</v>
      </c>
      <c r="U30" s="19">
        <f>SUM(U18:U29)</f>
        <v>101062.5</v>
      </c>
      <c r="V30" s="19">
        <f>SUM(V18:V29)</f>
        <v>101062.5</v>
      </c>
      <c r="W30" s="19">
        <f>SUM(W18:W29)</f>
        <v>101062.5</v>
      </c>
      <c r="X30" s="19">
        <f>SUM(X18:X29)</f>
        <v>101062.5</v>
      </c>
      <c r="Y30" s="19">
        <f>SUM(Y18:Y29)</f>
        <v>484461.5600509382</v>
      </c>
      <c r="Z30" s="19">
        <f>SUMIF($B$13:$Y$13,"Yes",B30:Y30)</f>
        <v>2080610.620101877</v>
      </c>
      <c r="AA30" s="19">
        <f>SUM(B30:M30)</f>
        <v>1979548.120101877</v>
      </c>
      <c r="AB30" s="19">
        <f>SUM(B30:Y30)</f>
        <v>3959096.240203753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96000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96000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96000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96000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192000</v>
      </c>
      <c r="AA42" s="36">
        <f>SUM(B42:M42)</f>
        <v>192000</v>
      </c>
      <c r="AB42" s="36">
        <f>SUM(B42:Y42)</f>
        <v>384000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96000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96000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96000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96000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192000</v>
      </c>
      <c r="AA43" s="36">
        <f>SUM(B43:M43)</f>
        <v>192000</v>
      </c>
      <c r="AB43" s="36">
        <f>SUM(B43:Y43)</f>
        <v>384000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17200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17200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17200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17200</v>
      </c>
      <c r="X48" s="46">
        <f>SUM(X49:X53)</f>
        <v>0</v>
      </c>
      <c r="Y48" s="46">
        <f>SUM(Y49:Y53)</f>
        <v>0</v>
      </c>
      <c r="Z48" s="46">
        <f>SUMIF($B$13:$Y$13,"Yes",B48:Y48)</f>
        <v>34400</v>
      </c>
      <c r="AA48" s="46">
        <f>SUM(B48:M48)</f>
        <v>34400</v>
      </c>
      <c r="AB48" s="46">
        <f>SUM(B48:Y48)</f>
        <v>68800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17200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17200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17200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17200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34400</v>
      </c>
      <c r="AA49" s="46">
        <f>SUM(B49:M49)</f>
        <v>34400</v>
      </c>
      <c r="AB49" s="46">
        <f>SUM(B49:Y49)</f>
        <v>68800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4704</v>
      </c>
      <c r="D66" s="36">
        <f>P66</f>
        <v>4704</v>
      </c>
      <c r="E66" s="36">
        <f>Q66</f>
        <v>4704</v>
      </c>
      <c r="F66" s="36">
        <f>R66</f>
        <v>4704</v>
      </c>
      <c r="G66" s="36">
        <f>S66</f>
        <v>4704</v>
      </c>
      <c r="H66" s="36">
        <f>T66</f>
        <v>0</v>
      </c>
      <c r="I66" s="36">
        <f>U66</f>
        <v>4704</v>
      </c>
      <c r="J66" s="36">
        <f>V66</f>
        <v>4704</v>
      </c>
      <c r="K66" s="36">
        <f>W66</f>
        <v>4704</v>
      </c>
      <c r="L66" s="36">
        <f>X66</f>
        <v>4704</v>
      </c>
      <c r="M66" s="36">
        <f>Y66</f>
        <v>4704</v>
      </c>
      <c r="N66" s="46">
        <f>SUM(N67:N71)</f>
        <v>0</v>
      </c>
      <c r="O66" s="46">
        <f>SUM(O67:O71)</f>
        <v>4704</v>
      </c>
      <c r="P66" s="46">
        <f>SUM(P67:P71)</f>
        <v>4704</v>
      </c>
      <c r="Q66" s="46">
        <f>SUM(Q67:Q71)</f>
        <v>4704</v>
      </c>
      <c r="R66" s="46">
        <f>SUM(R67:R71)</f>
        <v>4704</v>
      </c>
      <c r="S66" s="46">
        <f>SUM(S67:S71)</f>
        <v>4704</v>
      </c>
      <c r="T66" s="46">
        <f>SUM(T67:T71)</f>
        <v>0</v>
      </c>
      <c r="U66" s="46">
        <f>SUM(U67:U71)</f>
        <v>4704</v>
      </c>
      <c r="V66" s="46">
        <f>SUM(V67:V71)</f>
        <v>4704</v>
      </c>
      <c r="W66" s="46">
        <f>SUM(W67:W71)</f>
        <v>4704</v>
      </c>
      <c r="X66" s="46">
        <f>SUM(X67:X71)</f>
        <v>4704</v>
      </c>
      <c r="Y66" s="46">
        <f>SUM(Y67:Y71)</f>
        <v>4704</v>
      </c>
      <c r="Z66" s="46">
        <f>SUMIF($B$13:$Y$13,"Yes",B66:Y66)</f>
        <v>47040</v>
      </c>
      <c r="AA66" s="46">
        <f>SUM(B66:M66)</f>
        <v>47040</v>
      </c>
      <c r="AB66" s="46">
        <f>SUM(B66:Y66)</f>
        <v>94080</v>
      </c>
    </row>
    <row r="67" spans="1:30" hidden="true" outlineLevel="1">
      <c r="A67" s="181" t="str">
        <f>Calculations!$A$4</f>
        <v>Potatoes</v>
      </c>
      <c r="B67" s="36">
        <f>N67</f>
        <v>0</v>
      </c>
      <c r="C67" s="36">
        <f>O67</f>
        <v>4704</v>
      </c>
      <c r="D67" s="36">
        <f>P67</f>
        <v>4704</v>
      </c>
      <c r="E67" s="36">
        <f>Q67</f>
        <v>4704</v>
      </c>
      <c r="F67" s="36">
        <f>R67</f>
        <v>4704</v>
      </c>
      <c r="G67" s="36">
        <f>S67</f>
        <v>4704</v>
      </c>
      <c r="H67" s="36">
        <f>T67</f>
        <v>0</v>
      </c>
      <c r="I67" s="36">
        <f>U67</f>
        <v>4704</v>
      </c>
      <c r="J67" s="36">
        <f>V67</f>
        <v>4704</v>
      </c>
      <c r="K67" s="36">
        <f>W67</f>
        <v>4704</v>
      </c>
      <c r="L67" s="36">
        <f>X67</f>
        <v>4704</v>
      </c>
      <c r="M67" s="36">
        <f>Y67</f>
        <v>4704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4704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4704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4704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4704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4704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4704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4704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4704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4704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4704</v>
      </c>
      <c r="Z67" s="46">
        <f>SUMIF($B$13:$Y$13,"Yes",B67:Y67)</f>
        <v>47040</v>
      </c>
      <c r="AA67" s="46">
        <f>SUM(B67:M67)</f>
        <v>47040</v>
      </c>
      <c r="AB67" s="46">
        <f>SUM(B67:Y67)</f>
        <v>94080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6083.333333333333</v>
      </c>
      <c r="C74" s="46">
        <f>SUM(Calculations!$Q$14:$Q$16)/12</f>
        <v>6083.333333333333</v>
      </c>
      <c r="D74" s="46">
        <f>SUM(Calculations!$Q$14:$Q$16)/12</f>
        <v>6083.333333333333</v>
      </c>
      <c r="E74" s="46">
        <f>SUM(Calculations!$Q$14:$Q$16)/12</f>
        <v>6083.333333333333</v>
      </c>
      <c r="F74" s="46">
        <f>SUM(Calculations!$Q$14:$Q$16)/12</f>
        <v>6083.333333333333</v>
      </c>
      <c r="G74" s="46">
        <f>SUM(Calculations!$Q$14:$Q$16)/12</f>
        <v>6083.333333333333</v>
      </c>
      <c r="H74" s="46">
        <f>SUM(Calculations!$Q$14:$Q$16)/12</f>
        <v>6083.333333333333</v>
      </c>
      <c r="I74" s="46">
        <f>SUM(Calculations!$Q$14:$Q$16)/12</f>
        <v>6083.333333333333</v>
      </c>
      <c r="J74" s="46">
        <f>SUM(Calculations!$Q$14:$Q$16)/12</f>
        <v>6083.333333333333</v>
      </c>
      <c r="K74" s="46">
        <f>SUM(Calculations!$Q$14:$Q$16)/12</f>
        <v>6083.333333333333</v>
      </c>
      <c r="L74" s="46">
        <f>SUM(Calculations!$Q$14:$Q$16)/12</f>
        <v>6083.333333333333</v>
      </c>
      <c r="M74" s="46">
        <f>SUM(Calculations!$Q$14:$Q$16)/12</f>
        <v>6083.333333333333</v>
      </c>
      <c r="N74" s="46">
        <f>SUM(Calculations!$Q$14:$Q$16)/12</f>
        <v>6083.333333333333</v>
      </c>
      <c r="O74" s="46">
        <f>SUM(Calculations!$Q$14:$Q$16)/12</f>
        <v>6083.333333333333</v>
      </c>
      <c r="P74" s="46">
        <f>SUM(Calculations!$Q$14:$Q$16)/12</f>
        <v>6083.333333333333</v>
      </c>
      <c r="Q74" s="46">
        <f>SUM(Calculations!$Q$14:$Q$16)/12</f>
        <v>6083.333333333333</v>
      </c>
      <c r="R74" s="46">
        <f>SUM(Calculations!$Q$14:$Q$16)/12</f>
        <v>6083.333333333333</v>
      </c>
      <c r="S74" s="46">
        <f>SUM(Calculations!$Q$14:$Q$16)/12</f>
        <v>6083.333333333333</v>
      </c>
      <c r="T74" s="46">
        <f>SUM(Calculations!$Q$14:$Q$16)/12</f>
        <v>6083.333333333333</v>
      </c>
      <c r="U74" s="46">
        <f>SUM(Calculations!$Q$14:$Q$16)/12</f>
        <v>6083.333333333333</v>
      </c>
      <c r="V74" s="46">
        <f>SUM(Calculations!$Q$14:$Q$16)/12</f>
        <v>6083.333333333333</v>
      </c>
      <c r="W74" s="46">
        <f>SUM(Calculations!$Q$14:$Q$16)/12</f>
        <v>6083.333333333333</v>
      </c>
      <c r="X74" s="46">
        <f>SUM(Calculations!$Q$14:$Q$16)/12</f>
        <v>6083.333333333333</v>
      </c>
      <c r="Y74" s="46">
        <f>SUM(Calculations!$Q$14:$Q$16)/12</f>
        <v>6083.333333333333</v>
      </c>
      <c r="Z74" s="46">
        <f>SUMIF($B$13:$Y$13,"Yes",B74:Y74)</f>
        <v>79083.33333333333</v>
      </c>
      <c r="AA74" s="46">
        <f>SUM(B74:M74)</f>
        <v>73000</v>
      </c>
      <c r="AB74" s="46">
        <f>SUM(B74:Y74)</f>
        <v>146000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4333.333333333334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26000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40000</v>
      </c>
      <c r="C79" s="46">
        <f>Inputs!$B$31</f>
        <v>40000</v>
      </c>
      <c r="D79" s="46">
        <f>Inputs!$B$31</f>
        <v>40000</v>
      </c>
      <c r="E79" s="46">
        <f>Inputs!$B$31</f>
        <v>40000</v>
      </c>
      <c r="F79" s="46">
        <f>Inputs!$B$31</f>
        <v>40000</v>
      </c>
      <c r="G79" s="46">
        <f>Inputs!$B$31</f>
        <v>40000</v>
      </c>
      <c r="H79" s="46">
        <f>Inputs!$B$31</f>
        <v>40000</v>
      </c>
      <c r="I79" s="46">
        <f>Inputs!$B$31</f>
        <v>40000</v>
      </c>
      <c r="J79" s="46">
        <f>Inputs!$B$31</f>
        <v>40000</v>
      </c>
      <c r="K79" s="46">
        <f>Inputs!$B$31</f>
        <v>40000</v>
      </c>
      <c r="L79" s="46">
        <f>Inputs!$B$31</f>
        <v>40000</v>
      </c>
      <c r="M79" s="46">
        <f>Inputs!$B$31</f>
        <v>40000</v>
      </c>
      <c r="N79" s="46">
        <f>Inputs!$B$31</f>
        <v>40000</v>
      </c>
      <c r="O79" s="46">
        <f>Inputs!$B$31</f>
        <v>40000</v>
      </c>
      <c r="P79" s="46">
        <f>Inputs!$B$31</f>
        <v>40000</v>
      </c>
      <c r="Q79" s="46">
        <f>Inputs!$B$31</f>
        <v>40000</v>
      </c>
      <c r="R79" s="46">
        <f>Inputs!$B$31</f>
        <v>40000</v>
      </c>
      <c r="S79" s="46">
        <f>Inputs!$B$31</f>
        <v>40000</v>
      </c>
      <c r="T79" s="46">
        <f>Inputs!$B$31</f>
        <v>40000</v>
      </c>
      <c r="U79" s="46">
        <f>Inputs!$B$31</f>
        <v>40000</v>
      </c>
      <c r="V79" s="46">
        <f>Inputs!$B$31</f>
        <v>40000</v>
      </c>
      <c r="W79" s="46">
        <f>Inputs!$B$31</f>
        <v>40000</v>
      </c>
      <c r="X79" s="46">
        <f>Inputs!$B$31</f>
        <v>40000</v>
      </c>
      <c r="Y79" s="46">
        <f>Inputs!$B$31</f>
        <v>40000</v>
      </c>
      <c r="Z79" s="46">
        <f>SUMIF($B$13:$Y$13,"Yes",B79:Y79)</f>
        <v>520000</v>
      </c>
      <c r="AA79" s="46">
        <f>SUM(B79:M79)</f>
        <v>480000</v>
      </c>
      <c r="AB79" s="46">
        <f>SUM(B79:Y79)</f>
        <v>960000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40000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40000</v>
      </c>
      <c r="AA80" s="46">
        <f>SUM(B80:M80)</f>
        <v>40000</v>
      </c>
      <c r="AB80" s="46">
        <f>SUM(B80:Y80)</f>
        <v>40000</v>
      </c>
    </row>
    <row r="81" spans="1:30">
      <c r="A81" s="43" t="s">
        <v>51</v>
      </c>
      <c r="B81" s="46">
        <f>(SUM($AA$18:$AA$29)-SUM($AA$36,$AA$42,$AA$48,$AA$54,$AA$60,$AA$66,$AA$72:$AA$79))*Parameters!$B$37/12</f>
        <v>37503.60400339588</v>
      </c>
      <c r="C81" s="46">
        <f>(SUM($AA$18:$AA$29)-SUM($AA$36,$AA$42,$AA$48,$AA$54,$AA$60,$AA$66,$AA$72:$AA$79))*Parameters!$B$37/12</f>
        <v>37503.60400339588</v>
      </c>
      <c r="D81" s="46">
        <f>(SUM($AA$18:$AA$29)-SUM($AA$36,$AA$42,$AA$48,$AA$54,$AA$60,$AA$66,$AA$72:$AA$79))*Parameters!$B$37/12</f>
        <v>37503.60400339588</v>
      </c>
      <c r="E81" s="46">
        <f>(SUM($AA$18:$AA$29)-SUM($AA$36,$AA$42,$AA$48,$AA$54,$AA$60,$AA$66,$AA$72:$AA$79))*Parameters!$B$37/12</f>
        <v>37503.60400339588</v>
      </c>
      <c r="F81" s="46">
        <f>(SUM($AA$18:$AA$29)-SUM($AA$36,$AA$42,$AA$48,$AA$54,$AA$60,$AA$66,$AA$72:$AA$79))*Parameters!$B$37/12</f>
        <v>37503.60400339588</v>
      </c>
      <c r="G81" s="46">
        <f>(SUM($AA$18:$AA$29)-SUM($AA$36,$AA$42,$AA$48,$AA$54,$AA$60,$AA$66,$AA$72:$AA$79))*Parameters!$B$37/12</f>
        <v>37503.60400339588</v>
      </c>
      <c r="H81" s="46">
        <f>(SUM($AA$18:$AA$29)-SUM($AA$36,$AA$42,$AA$48,$AA$54,$AA$60,$AA$66,$AA$72:$AA$79))*Parameters!$B$37/12</f>
        <v>37503.60400339588</v>
      </c>
      <c r="I81" s="46">
        <f>(SUM($AA$18:$AA$29)-SUM($AA$36,$AA$42,$AA$48,$AA$54,$AA$60,$AA$66,$AA$72:$AA$79))*Parameters!$B$37/12</f>
        <v>37503.60400339588</v>
      </c>
      <c r="J81" s="46">
        <f>(SUM($AA$18:$AA$29)-SUM($AA$36,$AA$42,$AA$48,$AA$54,$AA$60,$AA$66,$AA$72:$AA$79))*Parameters!$B$37/12</f>
        <v>37503.60400339588</v>
      </c>
      <c r="K81" s="46">
        <f>(SUM($AA$18:$AA$29)-SUM($AA$36,$AA$42,$AA$48,$AA$54,$AA$60,$AA$66,$AA$72:$AA$79))*Parameters!$B$37/12</f>
        <v>37503.60400339588</v>
      </c>
      <c r="L81" s="46">
        <f>(SUM($AA$18:$AA$29)-SUM($AA$36,$AA$42,$AA$48,$AA$54,$AA$60,$AA$66,$AA$72:$AA$79))*Parameters!$B$37/12</f>
        <v>37503.60400339588</v>
      </c>
      <c r="M81" s="46">
        <f>(SUM($AA$18:$AA$29)-SUM($AA$36,$AA$42,$AA$48,$AA$54,$AA$60,$AA$66,$AA$72:$AA$79))*Parameters!$B$37/12</f>
        <v>37503.60400339588</v>
      </c>
      <c r="N81" s="46">
        <f>(SUM($AA$18:$AA$29)-SUM($AA$36,$AA$42,$AA$48,$AA$54,$AA$60,$AA$66,$AA$72:$AA$79))*Parameters!$B$37/12</f>
        <v>37503.60400339588</v>
      </c>
      <c r="O81" s="46">
        <f>(SUM($AA$18:$AA$29)-SUM($AA$36,$AA$42,$AA$48,$AA$54,$AA$60,$AA$66,$AA$72:$AA$79))*Parameters!$B$37/12</f>
        <v>37503.60400339588</v>
      </c>
      <c r="P81" s="46">
        <f>(SUM($AA$18:$AA$29)-SUM($AA$36,$AA$42,$AA$48,$AA$54,$AA$60,$AA$66,$AA$72:$AA$79))*Parameters!$B$37/12</f>
        <v>37503.60400339588</v>
      </c>
      <c r="Q81" s="46">
        <f>(SUM($AA$18:$AA$29)-SUM($AA$36,$AA$42,$AA$48,$AA$54,$AA$60,$AA$66,$AA$72:$AA$79))*Parameters!$B$37/12</f>
        <v>37503.60400339588</v>
      </c>
      <c r="R81" s="46">
        <f>(SUM($AA$18:$AA$29)-SUM($AA$36,$AA$42,$AA$48,$AA$54,$AA$60,$AA$66,$AA$72:$AA$79))*Parameters!$B$37/12</f>
        <v>37503.60400339588</v>
      </c>
      <c r="S81" s="46">
        <f>(SUM($AA$18:$AA$29)-SUM($AA$36,$AA$42,$AA$48,$AA$54,$AA$60,$AA$66,$AA$72:$AA$79))*Parameters!$B$37/12</f>
        <v>37503.60400339588</v>
      </c>
      <c r="T81" s="46">
        <f>(SUM($AA$18:$AA$29)-SUM($AA$36,$AA$42,$AA$48,$AA$54,$AA$60,$AA$66,$AA$72:$AA$79))*Parameters!$B$37/12</f>
        <v>37503.60400339588</v>
      </c>
      <c r="U81" s="46">
        <f>(SUM($AA$18:$AA$29)-SUM($AA$36,$AA$42,$AA$48,$AA$54,$AA$60,$AA$66,$AA$72:$AA$79))*Parameters!$B$37/12</f>
        <v>37503.60400339588</v>
      </c>
      <c r="V81" s="46">
        <f>(SUM($AA$18:$AA$29)-SUM($AA$36,$AA$42,$AA$48,$AA$54,$AA$60,$AA$66,$AA$72:$AA$79))*Parameters!$B$37/12</f>
        <v>37503.60400339588</v>
      </c>
      <c r="W81" s="46">
        <f>(SUM($AA$18:$AA$29)-SUM($AA$36,$AA$42,$AA$48,$AA$54,$AA$60,$AA$66,$AA$72:$AA$79))*Parameters!$B$37/12</f>
        <v>37503.60400339588</v>
      </c>
      <c r="X81" s="46">
        <f>(SUM($AA$18:$AA$29)-SUM($AA$36,$AA$42,$AA$48,$AA$54,$AA$60,$AA$66,$AA$72:$AA$79))*Parameters!$B$37/12</f>
        <v>37503.60400339588</v>
      </c>
      <c r="Y81" s="46">
        <f>(SUM($AA$18:$AA$29)-SUM($AA$36,$AA$42,$AA$48,$AA$54,$AA$60,$AA$66,$AA$72:$AA$79))*Parameters!$B$37/12</f>
        <v>37503.60400339588</v>
      </c>
      <c r="Z81" s="46">
        <f>SUMIF($B$13:$Y$13,"Yes",B81:Y81)</f>
        <v>487546.8520441464</v>
      </c>
      <c r="AA81" s="46">
        <f>SUM(B81:M81)</f>
        <v>450043.2480407506</v>
      </c>
      <c r="AB81" s="46">
        <f>SUM(B81:Y81)</f>
        <v>900086.4960815011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85920.27067006254</v>
      </c>
      <c r="C88" s="19">
        <f>SUM(C72:C82,C66,C60,C54,C48,C42,C36)</f>
        <v>186624.2706700625</v>
      </c>
      <c r="D88" s="19">
        <f>SUM(D72:D82,D66,D60,D54,D48,D42,D36)</f>
        <v>90624.27067006254</v>
      </c>
      <c r="E88" s="19">
        <f>SUM(E72:E82,E66,E60,E54,E48,E42,E36)</f>
        <v>107824.2706700625</v>
      </c>
      <c r="F88" s="19">
        <f>SUM(F72:F82,F66,F60,F54,F48,F42,F36)</f>
        <v>130624.2706700625</v>
      </c>
      <c r="G88" s="19">
        <f>SUM(G72:G82,G66,G60,G54,G48,G42,G36)</f>
        <v>90624.27067006254</v>
      </c>
      <c r="H88" s="19">
        <f>SUM(H72:H82,H66,H60,H54,H48,H42,H36)</f>
        <v>85920.27067006254</v>
      </c>
      <c r="I88" s="19">
        <f>SUM(I72:I82,I66,I60,I54,I48,I42,I36)</f>
        <v>186624.2706700625</v>
      </c>
      <c r="J88" s="19">
        <f>SUM(J72:J82,J66,J60,J54,J48,J42,J36)</f>
        <v>90624.27067006254</v>
      </c>
      <c r="K88" s="19">
        <f>SUM(K72:K82,K66,K60,K54,K48,K42,K36)</f>
        <v>107824.2706700625</v>
      </c>
      <c r="L88" s="19">
        <f>SUM(L72:L82,L66,L60,L54,L48,L42,L36)</f>
        <v>90624.27067006254</v>
      </c>
      <c r="M88" s="19">
        <f>SUM(M72:M82,M66,M60,M54,M48,M42,M36)</f>
        <v>90624.27067006254</v>
      </c>
      <c r="N88" s="19">
        <f>SUM(N72:N82,N66,N60,N54,N48,N42,N36)</f>
        <v>85920.27067006254</v>
      </c>
      <c r="O88" s="19">
        <f>SUM(O72:O82,O66,O60,O54,O48,O42,O36)</f>
        <v>186624.2706700625</v>
      </c>
      <c r="P88" s="19">
        <f>SUM(P72:P82,P66,P60,P54,P48,P42,P36)</f>
        <v>90624.27067006254</v>
      </c>
      <c r="Q88" s="19">
        <f>SUM(Q72:Q82,Q66,Q60,Q54,Q48,Q42,Q36)</f>
        <v>107824.2706700625</v>
      </c>
      <c r="R88" s="19">
        <f>SUM(R72:R82,R66,R60,R54,R48,R42,R36)</f>
        <v>90624.27067006254</v>
      </c>
      <c r="S88" s="19">
        <f>SUM(S72:S82,S66,S60,S54,S48,S42,S36)</f>
        <v>90624.27067006254</v>
      </c>
      <c r="T88" s="19">
        <f>SUM(T72:T82,T66,T60,T54,T48,T42,T36)</f>
        <v>85920.27067006254</v>
      </c>
      <c r="U88" s="19">
        <f>SUM(U72:U82,U66,U60,U54,U48,U42,U36)</f>
        <v>186624.2706700625</v>
      </c>
      <c r="V88" s="19">
        <f>SUM(V72:V82,V66,V60,V54,V48,V42,V36)</f>
        <v>90624.27067006254</v>
      </c>
      <c r="W88" s="19">
        <f>SUM(W72:W82,W66,W60,W54,W48,W42,W36)</f>
        <v>107824.2706700625</v>
      </c>
      <c r="X88" s="19">
        <f>SUM(X72:X82,X66,X60,X54,X48,X42,X36)</f>
        <v>90624.27067006254</v>
      </c>
      <c r="Y88" s="19">
        <f>SUM(Y72:Y82,Y66,Y60,Y54,Y48,Y42,Y36)</f>
        <v>90624.27067006254</v>
      </c>
      <c r="Z88" s="19">
        <f>SUMIF($B$13:$Y$13,"Yes",B88:Y88)</f>
        <v>1430403.518710813</v>
      </c>
      <c r="AA88" s="19">
        <f>SUM(B88:M88)</f>
        <v>1344483.248040751</v>
      </c>
      <c r="AB88" s="19">
        <f>SUM(B88:Y88)</f>
        <v>2648966.496081501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1400000</v>
      </c>
    </row>
    <row r="98" spans="1:30">
      <c r="A98" t="s">
        <v>64</v>
      </c>
      <c r="B98" s="36">
        <f>IF(Inputs!B44="Yes",Inputs!B45,0)</f>
        <v>200000</v>
      </c>
    </row>
    <row r="99" spans="1:30">
      <c r="A99" t="s">
        <v>65</v>
      </c>
      <c r="B99" s="36">
        <f>Inputs!B46</f>
        <v>450000</v>
      </c>
    </row>
    <row r="100" spans="1:30" customHeight="1" ht="15.75">
      <c r="A100" s="18" t="s">
        <v>66</v>
      </c>
      <c r="B100" s="37">
        <f>Inputs!B48</f>
        <v>800000</v>
      </c>
    </row>
    <row r="101" spans="1:30" customHeight="1" ht="15.75">
      <c r="A101" s="1" t="s">
        <v>67</v>
      </c>
      <c r="B101" s="19">
        <f>SUM(B94:B100)</f>
        <v>3860000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145000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4</v>
      </c>
      <c r="D19" s="145">
        <v>2</v>
      </c>
      <c r="E19" s="20"/>
      <c r="F19" s="145" t="s">
        <v>92</v>
      </c>
      <c r="G19" s="20"/>
      <c r="H19" s="20"/>
      <c r="I19" s="145" t="s">
        <v>109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30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60000</v>
      </c>
    </row>
    <row r="31" spans="1:48">
      <c r="A31" s="5" t="s">
        <v>116</v>
      </c>
      <c r="B31" s="158">
        <v>40000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 t="s">
        <v>122</v>
      </c>
      <c r="B35" s="159">
        <v>40000</v>
      </c>
      <c r="C35" s="145" t="s">
        <v>123</v>
      </c>
      <c r="D35" s="49">
        <f>IFERROR(VLOOKUP(C35,Parameters!$C$79:$D$90,2,0),"")</f>
        <v>6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200000</v>
      </c>
    </row>
    <row r="46" spans="1:48" customHeight="1" ht="30">
      <c r="A46" s="57" t="s">
        <v>132</v>
      </c>
      <c r="B46" s="161">
        <v>450000</v>
      </c>
    </row>
    <row r="47" spans="1:48" customHeight="1" ht="30">
      <c r="A47" s="57" t="s">
        <v>133</v>
      </c>
      <c r="B47" s="161">
        <v>200000</v>
      </c>
    </row>
    <row r="48" spans="1:48" customHeight="1" ht="30">
      <c r="A48" s="57" t="s">
        <v>134</v>
      </c>
      <c r="B48" s="161">
        <v>800000</v>
      </c>
    </row>
    <row r="49" spans="1:48" customHeight="1" ht="30">
      <c r="A49" s="57" t="s">
        <v>135</v>
      </c>
      <c r="B49" s="161">
        <v>10000</v>
      </c>
    </row>
    <row r="50" spans="1:48">
      <c r="A50" s="43"/>
      <c r="B50" s="36"/>
    </row>
    <row r="51" spans="1:48">
      <c r="A51" s="58" t="s">
        <v>136</v>
      </c>
      <c r="B51" s="161">
        <v>5000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100000</v>
      </c>
      <c r="B56" s="159">
        <v>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50000</v>
      </c>
      <c r="B57" s="157">
        <v>0</v>
      </c>
      <c r="C57" s="164" t="s">
        <v>147</v>
      </c>
      <c r="D57" s="165" t="s">
        <v>148</v>
      </c>
      <c r="E57" s="165" t="s">
        <v>92</v>
      </c>
      <c r="F57" s="165" t="s">
        <v>146</v>
      </c>
    </row>
    <row r="58" spans="1:48">
      <c r="A58" s="157">
        <v>3000</v>
      </c>
      <c r="B58" s="157">
        <v>0</v>
      </c>
      <c r="C58" s="164" t="s">
        <v>149</v>
      </c>
      <c r="D58" s="165" t="s">
        <v>150</v>
      </c>
      <c r="E58" s="165" t="s">
        <v>93</v>
      </c>
      <c r="F58" s="165" t="s">
        <v>146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152</v>
      </c>
      <c r="C65" s="10" t="s">
        <v>153</v>
      </c>
    </row>
    <row r="66" spans="1:48">
      <c r="A66" s="142" t="s">
        <v>154</v>
      </c>
      <c r="B66" s="159">
        <v>95000</v>
      </c>
      <c r="C66" s="163">
        <v>94500</v>
      </c>
      <c r="D66" s="49">
        <f>INDEX(Parameters!$D$79:$D$90,MATCH(Inputs!A66,Parameters!$C$79:$C$90,0))</f>
        <v>2</v>
      </c>
    </row>
    <row r="67" spans="1:48">
      <c r="A67" s="143" t="s">
        <v>155</v>
      </c>
      <c r="B67" s="157">
        <v>65000</v>
      </c>
      <c r="C67" s="165">
        <v>64800</v>
      </c>
      <c r="D67" s="49">
        <f>INDEX(Parameters!$D$79:$D$90,MATCH(Inputs!A67,Parameters!$C$79:$C$90,0))</f>
        <v>1</v>
      </c>
    </row>
    <row r="68" spans="1:48">
      <c r="A68" s="143" t="s">
        <v>156</v>
      </c>
      <c r="B68" s="157">
        <v>45000</v>
      </c>
      <c r="C68" s="165">
        <v>44200</v>
      </c>
      <c r="D68" s="49">
        <f>INDEX(Parameters!$D$79:$D$90,MATCH(Inputs!A68,Parameters!$C$79:$C$90,0))</f>
        <v>12</v>
      </c>
    </row>
    <row r="69" spans="1:48">
      <c r="A69" s="143" t="s">
        <v>157</v>
      </c>
      <c r="B69" s="157">
        <v>99000</v>
      </c>
      <c r="C69" s="165">
        <v>98500</v>
      </c>
      <c r="D69" s="49">
        <f>INDEX(Parameters!$D$79:$D$90,MATCH(Inputs!A69,Parameters!$C$79:$C$90,0))</f>
        <v>11</v>
      </c>
    </row>
    <row r="70" spans="1:48">
      <c r="A70" s="143" t="s">
        <v>158</v>
      </c>
      <c r="B70" s="157">
        <v>56000</v>
      </c>
      <c r="C70" s="165">
        <v>56000</v>
      </c>
      <c r="D70" s="49">
        <f>INDEX(Parameters!$D$79:$D$90,MATCH(Inputs!A70,Parameters!$C$79:$C$90,0))</f>
        <v>10</v>
      </c>
    </row>
    <row r="71" spans="1:48">
      <c r="A71" s="144" t="s">
        <v>159</v>
      </c>
      <c r="B71" s="158">
        <v>43000</v>
      </c>
      <c r="C71" s="167">
        <v>43000</v>
      </c>
      <c r="D71" s="49">
        <f>INDEX(Parameters!$D$79:$D$90,MATCH(Inputs!A71,Parameters!$C$79:$C$90,0))</f>
        <v>9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5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140000</v>
      </c>
    </row>
    <row r="82" spans="1:48">
      <c r="A82" t="s">
        <v>169</v>
      </c>
      <c r="B82" s="161">
        <v>18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12</v>
      </c>
    </row>
    <row r="86" spans="1:48">
      <c r="A86" t="s">
        <v>174</v>
      </c>
      <c r="B86" s="161">
        <v>5</v>
      </c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42795</v>
      </c>
      <c r="C4" s="38">
        <f>IFERROR(DATE(YEAR(B4),MONTH(B4)+ROUND(T4/2,0),DAY(B4)),B4)</f>
        <v>42856</v>
      </c>
      <c r="D4" s="38">
        <f>IFERROR(DATE(YEAR(B4),MONTH(B4)+T4,DAY(B4)),"")</f>
        <v>42917</v>
      </c>
      <c r="E4" s="38">
        <f>IFERROR(IF($S4=0,"",IF($S4=2,DATE(YEAR(B4),MONTH(B4)+6,DAY(B4)),IF($S4=1,B4,""))),"")</f>
        <v>42979</v>
      </c>
      <c r="F4" s="38">
        <f>IFERROR(IF($S4=0,"",IF($S4=2,DATE(YEAR(C4),MONTH(C4)+6,DAY(C4)),IF($S4=1,C4,""))),"")</f>
        <v>43040</v>
      </c>
      <c r="G4" s="38">
        <f>IFERROR(IF($S4=0,"",IF($S4=2,DATE(YEAR(D4),MONTH(D4)+6,DAY(D4)),IF($S4=1,D4,""))),"")</f>
        <v>43101</v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34232.05893311948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766798.1201018763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96000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17200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33600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492750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50000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3000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42817</v>
      </c>
      <c r="C33" s="27">
        <f>IF(B33&lt;&gt;"",IF(COUNT($A$33:A33)&lt;=$G$39,0,$G$41)+IF(COUNT($A$33:A33)&lt;=$G$40,0,$G$42),0)</f>
        <v>2100</v>
      </c>
      <c r="D33" s="170">
        <f>IFERROR(DATE(YEAR(B33),MONTH(B33),1)," ")</f>
        <v>42795</v>
      </c>
      <c r="F33" t="s">
        <v>165</v>
      </c>
      <c r="G33" s="128">
        <f>IF(Inputs!B79="","",DATE(YEAR(Inputs!B79),MONTH(Inputs!B79),DAY(Inputs!B79)))</f>
        <v>42789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42848</v>
      </c>
      <c r="C34" s="27">
        <f>IF(B34&lt;&gt;"",IF(COUNT($A$33:A34)&lt;=$G$39,0,$G$41)+IF(COUNT($A$33:A34)&lt;=$G$40,0,$G$42),0)</f>
        <v>2100</v>
      </c>
      <c r="D34" s="170">
        <f>IFERROR(DATE(YEAR(B34),MONTH(B34),1)," ")</f>
        <v>42826</v>
      </c>
      <c r="F34" t="s">
        <v>166</v>
      </c>
      <c r="G34" s="128">
        <f>IF(Inputs!B80="","",DATE(YEAR(Inputs!B80),MONTH(Inputs!B80),DAY(Inputs!B80)))</f>
        <v>42817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42878</v>
      </c>
      <c r="C35" s="27">
        <f>IF(B35&lt;&gt;"",IF(COUNT($A$33:A35)&lt;=$G$39,0,$G$41)+IF(COUNT($A$33:A35)&lt;=$G$40,0,$G$42),0)</f>
        <v>2100</v>
      </c>
      <c r="D35" s="170">
        <f>IFERROR(DATE(YEAR(B35),MONTH(B35),1)," ")</f>
        <v>42856</v>
      </c>
      <c r="F35" t="s">
        <v>168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42909</v>
      </c>
      <c r="C36" s="27">
        <f>IF(B36&lt;&gt;"",IF(COUNT($A$33:A36)&lt;=$G$39,0,$G$41)+IF(COUNT($A$33:A36)&lt;=$G$40,0,$G$42),0)</f>
        <v>2100</v>
      </c>
      <c r="D36" s="170">
        <f>IFERROR(DATE(YEAR(B36),MONTH(B36),1)," ")</f>
        <v>42887</v>
      </c>
      <c r="F36" t="s">
        <v>169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42939</v>
      </c>
      <c r="C37" s="27">
        <f>IF(B37&lt;&gt;"",IF(COUNT($A$33:A37)&lt;=$G$39,0,$G$41)+IF(COUNT($A$33:A37)&lt;=$G$40,0,$G$42),0)</f>
        <v>2100</v>
      </c>
      <c r="D37" s="170">
        <f>IFERROR(DATE(YEAR(B37),MONTH(B37),1)," ")</f>
        <v>42917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42970</v>
      </c>
      <c r="C38" s="27">
        <f>IF(B38&lt;&gt;"",IF(COUNT($A$33:A38)&lt;=$G$39,0,$G$41)+IF(COUNT($A$33:A38)&lt;=$G$40,0,$G$42),0)</f>
        <v>22100</v>
      </c>
      <c r="D38" s="170">
        <f>IFERROR(DATE(YEAR(B38),MONTH(B38),1)," ")</f>
        <v>42948</v>
      </c>
      <c r="F38" t="s">
        <v>231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43001</v>
      </c>
      <c r="C39" s="27">
        <f>IF(B39&lt;&gt;"",IF(COUNT($A$33:A39)&lt;=$G$39,0,$G$41)+IF(COUNT($A$33:A39)&lt;=$G$40,0,$G$42),0)</f>
        <v>22100</v>
      </c>
      <c r="D39" s="170">
        <f>IFERROR(DATE(YEAR(B39),MONTH(B39),1)," ")</f>
        <v>42979</v>
      </c>
      <c r="F39" t="s">
        <v>174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43031</v>
      </c>
      <c r="C40" s="27">
        <f>IF(B40&lt;&gt;"",IF(COUNT($A$33:A40)&lt;=$G$39,0,$G$41)+IF(COUNT($A$33:A40)&lt;=$G$40,0,$G$42),0)</f>
        <v>22100</v>
      </c>
      <c r="D40" s="170">
        <f>IFERROR(DATE(YEAR(B40),MONTH(B40),1)," ")</f>
        <v>43009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43062</v>
      </c>
      <c r="C41" s="27">
        <f>IF(B41&lt;&gt;"",IF(COUNT($A$33:A41)&lt;=$G$39,0,$G$41)+IF(COUNT($A$33:A41)&lt;=$G$40,0,$G$42),0)</f>
        <v>22100</v>
      </c>
      <c r="D41" s="170">
        <f>IFERROR(DATE(YEAR(B41),MONTH(B41),1)," ")</f>
        <v>43040</v>
      </c>
      <c r="F41" t="s">
        <v>232</v>
      </c>
      <c r="G41" s="73">
        <f>IFERROR(G35/(G38-G39),"")</f>
        <v>20000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43092</v>
      </c>
      <c r="C42" s="27">
        <f>IF(B42&lt;&gt;"",IF(COUNT($A$33:A42)&lt;=$G$39,0,$G$41)+IF(COUNT($A$33:A42)&lt;=$G$40,0,$G$42),0)</f>
        <v>22100</v>
      </c>
      <c r="D42" s="170">
        <f>IFERROR(DATE(YEAR(B42),MONTH(B42),1)," ")</f>
        <v>43070</v>
      </c>
      <c r="F42" t="s">
        <v>233</v>
      </c>
      <c r="G42" s="73">
        <f>IFERROR(G35*G36*IF(G37="Monthly",G38/12,IF(G37="Fortnightly",G38/(365/14),G38/(365/28)))/(G38-G40),"")</f>
        <v>2100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43123</v>
      </c>
      <c r="C43" s="27">
        <f>IF(B43&lt;&gt;"",IF(COUNT($A$33:A43)&lt;=$G$39,0,$G$41)+IF(COUNT($A$33:A43)&lt;=$G$40,0,$G$42),0)</f>
        <v>22100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43154</v>
      </c>
      <c r="C44" s="27">
        <f>IF(B44&lt;&gt;"",IF(COUNT($A$33:A44)&lt;=$G$39,0,$G$41)+IF(COUNT($A$33:A44)&lt;=$G$40,0,$G$42),0)</f>
        <v>22100</v>
      </c>
      <c r="D44" s="170">
        <f>IFERROR(DATE(YEAR(B44),MONTH(B44),1)," ")</f>
        <v>43132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206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305</v>
      </c>
      <c r="B26" s="16" t="s">
        <v>302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302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307</v>
      </c>
      <c r="B28" s="71" t="s">
        <v>302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308</v>
      </c>
      <c r="B29" s="118" t="s">
        <v>302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305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307</v>
      </c>
      <c r="B47" s="72">
        <v>4500</v>
      </c>
      <c r="C47" s="72">
        <v>12000</v>
      </c>
    </row>
    <row r="48" spans="1:36">
      <c r="A48" t="s">
        <v>308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276</v>
      </c>
      <c r="E52" s="12" t="s">
        <v>276</v>
      </c>
      <c r="F52" s="12" t="s">
        <v>276</v>
      </c>
      <c r="G52" s="12" t="s">
        <v>319</v>
      </c>
      <c r="H52" s="12" t="s">
        <v>129</v>
      </c>
      <c r="I52" s="12" t="s">
        <v>320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234</v>
      </c>
      <c r="E53" s="10" t="s">
        <v>193</v>
      </c>
      <c r="F53" s="10" t="s">
        <v>253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171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230</v>
      </c>
      <c r="J76" s="11" t="s">
        <v>353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354</v>
      </c>
      <c r="E77" s="12" t="s">
        <v>93</v>
      </c>
      <c r="F77" s="12" t="s">
        <v>93</v>
      </c>
      <c r="G77" s="12" t="s">
        <v>355</v>
      </c>
      <c r="H77" s="12" t="s">
        <v>129</v>
      </c>
      <c r="I77" s="12" t="s">
        <v>356</v>
      </c>
      <c r="J77" s="136" t="s">
        <v>357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358</v>
      </c>
      <c r="D78" s="133"/>
      <c r="E78" s="12" t="s">
        <v>359</v>
      </c>
      <c r="F78" s="12" t="s">
        <v>360</v>
      </c>
      <c r="G78" s="12" t="s">
        <v>361</v>
      </c>
      <c r="H78" s="12" t="s">
        <v>320</v>
      </c>
      <c r="I78" s="12" t="s">
        <v>362</v>
      </c>
      <c r="J78" s="70" t="s">
        <v>363</v>
      </c>
      <c r="K78" s="12" t="s">
        <v>93</v>
      </c>
      <c r="AJ78" s="12"/>
    </row>
    <row r="79" spans="1:36">
      <c r="B79" s="176">
        <v>10</v>
      </c>
      <c r="C79" s="12" t="s">
        <v>155</v>
      </c>
      <c r="D79" s="12">
        <v>1</v>
      </c>
      <c r="E79" s="12" t="s">
        <v>364</v>
      </c>
      <c r="F79" s="12" t="s">
        <v>365</v>
      </c>
      <c r="G79" s="12" t="s">
        <v>109</v>
      </c>
      <c r="I79" s="12" t="s">
        <v>171</v>
      </c>
      <c r="J79" s="70" t="s">
        <v>366</v>
      </c>
      <c r="K79" s="12" t="s">
        <v>93</v>
      </c>
      <c r="AJ79" s="12"/>
    </row>
    <row r="80" spans="1:36">
      <c r="B80" s="176">
        <v>20</v>
      </c>
      <c r="C80" s="12" t="s">
        <v>154</v>
      </c>
      <c r="D80" s="12">
        <f>D79+1</f>
        <v>2</v>
      </c>
      <c r="E80" s="12" t="s">
        <v>367</v>
      </c>
      <c r="F80" s="12" t="s">
        <v>368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371</v>
      </c>
      <c r="D83" s="12">
        <f>D82+1</f>
        <v>5</v>
      </c>
    </row>
    <row r="84" spans="1:36">
      <c r="B84" s="176">
        <v>60</v>
      </c>
      <c r="C84" s="12" t="s">
        <v>123</v>
      </c>
      <c r="D84" s="12">
        <f>D83+1</f>
        <v>6</v>
      </c>
    </row>
    <row r="85" spans="1:36">
      <c r="B85" s="176">
        <v>70</v>
      </c>
      <c r="C85" s="12" t="s">
        <v>372</v>
      </c>
      <c r="D85" s="12">
        <f>D84+1</f>
        <v>7</v>
      </c>
    </row>
    <row r="86" spans="1:36">
      <c r="B86" s="176">
        <v>80</v>
      </c>
      <c r="C86" s="12" t="s">
        <v>373</v>
      </c>
      <c r="D86" s="12">
        <f>D85+1</f>
        <v>8</v>
      </c>
    </row>
    <row r="87" spans="1:36">
      <c r="B87" s="176">
        <v>89.99999999999999</v>
      </c>
      <c r="C87" s="12" t="s">
        <v>159</v>
      </c>
      <c r="D87" s="12">
        <f>D86+1</f>
        <v>9</v>
      </c>
    </row>
    <row r="88" spans="1:36">
      <c r="B88" s="176">
        <v>99.99999999999999</v>
      </c>
      <c r="C88" s="12" t="s">
        <v>158</v>
      </c>
      <c r="D88" s="12">
        <f>D87+1</f>
        <v>10</v>
      </c>
    </row>
    <row r="89" spans="1:36">
      <c r="C89" s="12" t="s">
        <v>157</v>
      </c>
      <c r="D89" s="12">
        <f>D88+1</f>
        <v>11</v>
      </c>
    </row>
    <row r="90" spans="1:36">
      <c r="C90" s="12" t="s">
        <v>156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