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<sst xmlns="http://schemas.openxmlformats.org/spreadsheetml/2006/main" uniqueCount="367">
  <si>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</si>
  <si>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</si>
  <si>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</si>
  <si>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</si>
  <si>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</si>
  <si>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</si>
  <si>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</si>
  <si>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</si>
  <si>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</si>
  <si>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</si>
  <si>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</si>
  <si>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</si>
  <si>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</si>
  <si>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</si>
  <si>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</si>
  <si>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</si>
  <si>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</si>
  <si>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</si>
  <si>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</si>
  <si>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</si>
  <si>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</si>
  <si>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</si>
  <si>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</si>
  <si>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</si>
  <si>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</si>
  <si>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</si>
  <si>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</si>
  <si>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</si>
  <si>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</si>
  <si>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</si>
  <si>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</si>
  <si>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</si>
  <si>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</si>
  <si>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</si>
  <si>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</si>
  <si>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</si>
  <si>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</si>
  <si>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</si>
  <si>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</si>
  <si>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</si>
  <si>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</si>
  <si>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</si>
  <si>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</si>
  <si>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</si>
  <si>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</si>
  <si>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</si>
  <si>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</si>
  <si>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</si>
  <si>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</si>
  <si>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</si>
  <si>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</si>
  <si>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</si>
  <si>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</si>
  <si>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</si>
  <si>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</si>
  <si>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</si>
  <si>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</si>
  <si>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</si>
  <si>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</si>
  <si>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</si>
  <si>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</si>
  <si>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</si>
  <si>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</si>
  <si>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</si>
  <si>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</si>
  <si>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</si>
  <si>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</si>
  <si>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</si>
  <si>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</si>
  <si>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</si>
  <si>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</si>
  <si>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</si>
  <si>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</si>
  <si>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</si>
  <si>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</si>
  <si>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</si>
  <si>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</si>
  <si>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</si>
  <si>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</si>
  <si>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</si>
  <si>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</si>
  <si>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</si>
  <si>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</si>
  <si>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</si>
  <si>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</si>
  <si>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</si>
  <si>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</si>
  <si>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</si>
  <si>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</si>
  <si>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</si>
  <si>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</si>
  <si>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</si>
  <si>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</si>
  <si>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using a diesel pump</t>
  </si>
  <si>
    <t>March</t>
  </si>
  <si>
    <t>Onions</t>
  </si>
  <si>
    <t>Yes without the use of a pump</t>
  </si>
  <si>
    <t>Beans</t>
  </si>
  <si>
    <t>April</t>
  </si>
  <si>
    <t>Maize</t>
  </si>
  <si>
    <t>Other crops</t>
  </si>
  <si>
    <t>No</t>
  </si>
  <si>
    <t>Yes using a solar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</si>
  <si>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</si>
  <si>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</si>
  <si>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</si>
  <si>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</si>
  <si>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</si>
  <si>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</si>
  <si>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</si>
  <si>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</si>
  <si>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</si>
  <si>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</si>
  <si>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</si>
  <si>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</si>
  <si>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</si>
  <si>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</si>
  <si>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Never</t>
  </si>
  <si>
    <t>Chicken_layers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</si>
  <si>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</si>
  <si>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</si>
  <si>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</si>
  <si>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</si>
  <si>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</si>
  <si>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casual employment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</si>
  <si>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</si>
  <si>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</si>
  <si>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</si>
  <si>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</si>
  <si>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</si>
  <si>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</si>
  <si>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</si>
  <si>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</si>
  <si>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</si>
  <si>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</si>
  <si>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</si>
  <si>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</si>
  <si>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</si>
  <si>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</si>
  <si>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</si>
  <si>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</si>
  <si>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</si>
  <si>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</si>
  <si>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</si>
  <si>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</si>
  <si>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</si>
  <si>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</si>
  <si>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</si>
  <si>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</si>
  <si>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</si>
  <si>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</si>
  <si>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</si>
  <si>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12/15/2016</t>
  </si>
  <si>
    <t>mshwari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</si>
  <si>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</si>
  <si>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</si>
  <si>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</si>
  <si>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</si>
  <si>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</si>
  <si>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</si>
  <si>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</si>
  <si>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</si>
  <si>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</si>
  <si>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</si>
  <si>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</si>
  <si>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</si>
  <si>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2017/2/27</t>
  </si>
  <si>
    <t>Loan terms</t>
  </si>
  <si>
    <t>Expected disbursement date</t>
  </si>
  <si>
    <t>Expected first repayment date</t>
  </si>
  <si>
    <t>2017/4/3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</si>
  <si>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</si>
  <si>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</si>
  <si>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</si>
  <si>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</si>
  <si>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</si>
  <si>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</si>
  <si>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</si>
  <si>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</si>
  <si>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</si>
  <si>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</si>
  <si>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</si>
  <si>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</si>
  <si>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</si>
  <si>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</si>
  <si>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</si>
  <si>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</si>
  <si>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</si>
  <si>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</si>
  <si>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</si>
  <si>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</si>
  <si>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</si>
  <si>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</si>
  <si>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</si>
  <si>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</si>
  <si>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</si>
  <si>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</si>
  <si>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</si>
  <si>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</si>
  <si>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</si>
  <si>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</si>
  <si>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</si>
  <si>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</si>
  <si>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</si>
  <si>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</si>
  <si>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</si>
  <si>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</si>
  <si>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</si>
  <si>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</si>
  <si>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</si>
  <si>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</si>
  <si>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</si>
  <si>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</si>
  <si>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</si>
  <si>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</si>
  <si>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</si>
  <si>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</si>
  <si>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</si>
  <si>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</si>
  <si>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</si>
  <si>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</si>
  <si>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</si>
  <si>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</si>
  <si>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</si>
  <si>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</si>
  <si>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</si>
  <si>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</si>
  <si>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</si>
  <si>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</si>
  <si>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</si>
  <si>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</si>
  <si>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</si>
  <si>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</si>
  <si>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</si>
  <si>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</si>
  <si>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</si>
  <si>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</si>
  <si>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</si>
  <si>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</si>
  <si>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</si>
  <si>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</si>
  <si>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</si>
  <si>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</si>
  <si>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</si>
  <si>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</si>
  <si>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</si>
  <si>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</si>
  <si>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</si>
  <si>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</si>
  <si>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</si>
  <si>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</si>
  <si>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</si>
  <si>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</si>
  <si>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</si>
  <si>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</si>
  <si>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</si>
  <si>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</si>
  <si>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</si>
  <si>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</si>
  <si>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</si>
  <si>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</si>
  <si>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</si>
  <si>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</si>
  <si>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</si>
  <si>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</si>
  <si>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</si>
  <si>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</si>
  <si>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</si>
  <si>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</si>
  <si>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</si>
  <si>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</si>
  <si>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</si>
  <si>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</si>
  <si>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</si>
  <si>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</si>
  <si>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</si>
  <si>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</si>
  <si>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</si>
  <si>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</si>
  <si>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</si>
  <si>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</si>
  <si>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</si>
  <si>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</si>
  <si>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</si>
  <si>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</si>
  <si>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</si>
  <si>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</si>
  <si>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</si>
  <si>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</si>
  <si>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</si>
  <si>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</si>
  <si>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</si>
  <si>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</si>
  <si>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</si>
  <si>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</si>
  <si>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</si>
  <si>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</si>
  <si>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</si>
  <si>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</si>
  <si>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</si>
  <si>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</si>
  <si>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</si>
  <si>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</si>
  <si>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</si>
  <si>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</si>
  <si>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</si>
  <si>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</si>
  <si>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</si>
  <si>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</si>
  <si>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</si>
  <si>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</si>
  <si>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</si>
  <si>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</si>
  <si>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</si>
  <si>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</si>
  <si>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</si>
  <si>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</si>
  <si>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</si>
  <si>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</si>
  <si>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</si>
  <si>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</si>
  <si>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</si>
  <si>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</si>
  <si>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</si>
  <si>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</si>
  <si>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</si>
  <si>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</si>
  <si>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</si>
  <si>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</si>
  <si>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</si>
  <si>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</si>
  <si>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</si>
  <si>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</si>
  <si>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</si>
  <si>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</si>
  <si>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</si>
  <si>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</si>
  <si>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</si>
  <si>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</si>
  <si>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</si>
  <si>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</si>
  <si>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</si>
  <si>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</si>
  <si>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</si>
  <si>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</si>
  <si>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</si>
  <si>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</si>
  <si>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</si>
  <si>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</si>
  <si>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</si>
  <si>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</si>
  <si>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</si>
  <si>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</si>
  <si>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</si>
  <si>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</si>
  <si>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</si>
  <si>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</si>
  <si>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</si>
  <si>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</si>
  <si>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</si>
  <si>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Always</t>
  </si>
  <si>
    <t>Shop_common variety</t>
  </si>
  <si>
    <t>NGO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</si>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</sst>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Onions, Beans, Maize,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Goat, Chicken_layers, Chicken: sale of ex layers</v>
      </c>
    </row>
    <row r="8" spans="1:7">
      <c r="B8" s="1" t="s">
        <v>4</v>
      </c>
      <c r="C8" t="str">
        <f>IF(Inputs!B29="","None",Inputs!B29)</f>
        <v>casual employment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0.1281110138789364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0.00450700242361846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641382.2261960234</v>
      </c>
    </row>
    <row r="18" spans="1:7">
      <c r="B18" s="1" t="s">
        <v>12</v>
      </c>
      <c r="C18" s="36">
        <f>MIN(Output!B6:M6)</f>
        <v>-65024.00573687181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290806.7652321936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4500</v>
      </c>
    </row>
    <row r="25" spans="1:7">
      <c r="B25" s="1" t="s">
        <v>18</v>
      </c>
      <c r="C25" s="36">
        <f>MAX(Inputs!A56:A60)</f>
        <v>4500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216984.1203462083</v>
      </c>
      <c r="C6" s="51">
        <f>C30-C88</f>
        <v>-37290.19214141789</v>
      </c>
      <c r="D6" s="51">
        <f>D30-D88</f>
        <v>-64124.00573687181</v>
      </c>
      <c r="E6" s="51">
        <f>E30-E88</f>
        <v>-65024.00573687181</v>
      </c>
      <c r="F6" s="51">
        <f>F30-F88</f>
        <v>290806.7652321936</v>
      </c>
      <c r="G6" s="51">
        <f>G30-G88</f>
        <v>-20661.56886522879</v>
      </c>
      <c r="H6" s="51">
        <f>H30-H88</f>
        <v>216984.1203462083</v>
      </c>
      <c r="I6" s="51">
        <f>I30-I88</f>
        <v>-37290.19214141789</v>
      </c>
      <c r="J6" s="51">
        <f>J30-J88</f>
        <v>-64124.00573687181</v>
      </c>
      <c r="K6" s="51">
        <f>K30-K88</f>
        <v>-65024.00573687181</v>
      </c>
      <c r="L6" s="51">
        <f>L30-L88</f>
        <v>290806.7652321936</v>
      </c>
      <c r="M6" s="51">
        <f>M30-M88</f>
        <v>-20661.56886522879</v>
      </c>
      <c r="N6" s="51">
        <f>N30-N88</f>
        <v>216984.1203462083</v>
      </c>
      <c r="O6" s="51">
        <f>O30-O88</f>
        <v>-37290.19214141789</v>
      </c>
      <c r="P6" s="51">
        <f>P30-P88</f>
        <v>-64124.00573687181</v>
      </c>
      <c r="Q6" s="51">
        <f>Q30-Q88</f>
        <v>-65024.00573687181</v>
      </c>
      <c r="R6" s="51">
        <f>R30-R88</f>
        <v>290806.7652321936</v>
      </c>
      <c r="S6" s="51">
        <f>S30-S88</f>
        <v>-17249.06886522879</v>
      </c>
      <c r="T6" s="51">
        <f>T30-T88</f>
        <v>216984.1203462083</v>
      </c>
      <c r="U6" s="51">
        <f>U30-U88</f>
        <v>-37290.19214141789</v>
      </c>
      <c r="V6" s="51">
        <f>V30-V88</f>
        <v>-64124.00573687181</v>
      </c>
      <c r="W6" s="51">
        <f>W30-W88</f>
        <v>-65024.00573687181</v>
      </c>
      <c r="X6" s="51">
        <f>X30-X88</f>
        <v>290806.7652321936</v>
      </c>
      <c r="Y6" s="51">
        <f>Y30-Y88</f>
        <v>-20661.56886522879</v>
      </c>
      <c r="Z6" s="51">
        <f>SUMIF($B$13:$Y$13,"Yes",B6:Y6)</f>
        <v>821076.1544008139</v>
      </c>
      <c r="AA6" s="51">
        <f>AA30-AA88</f>
        <v>641382.2261960232</v>
      </c>
      <c r="AB6" s="51">
        <f>AB30-AB88</f>
        <v>1286176.952392046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13350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15986</v>
      </c>
      <c r="J7" s="80">
        <f>IF(ISERROR(VLOOKUP(MONTH(J5),Inputs!$D$66:$D$71,1,0)),"",INDEX(Inputs!$B$66:$B$71,MATCH(MONTH(Output!J5),Inputs!$D$66:$D$71,0))-INDEX(Inputs!$C$66:$C$71,MATCH(MONTH(Output!J5),Inputs!$D$66:$D$71,0)))</f>
        <v>7027</v>
      </c>
      <c r="K7" s="80">
        <f>IF(ISERROR(VLOOKUP(MONTH(K5),Inputs!$D$66:$D$71,1,0)),"",INDEX(Inputs!$B$66:$B$71,MATCH(MONTH(Output!K5),Inputs!$D$66:$D$71,0))-INDEX(Inputs!$C$66:$C$71,MATCH(MONTH(Output!K5),Inputs!$D$66:$D$71,0)))</f>
        <v>20001</v>
      </c>
      <c r="L7" s="80">
        <f>IF(ISERROR(VLOOKUP(MONTH(L5),Inputs!$D$66:$D$71,1,0)),"",INDEX(Inputs!$B$66:$B$71,MATCH(MONTH(Output!L5),Inputs!$D$66:$D$71,0))-INDEX(Inputs!$C$66:$C$71,MATCH(MONTH(Output!L5),Inputs!$D$66:$D$71,0)))</f>
        <v>-2698</v>
      </c>
      <c r="M7" s="80">
        <f>IF(ISERROR(VLOOKUP(MONTH(M5),Inputs!$D$66:$D$71,1,0)),"",INDEX(Inputs!$B$66:$B$71,MATCH(MONTH(Output!M5),Inputs!$D$66:$D$71,0))-INDEX(Inputs!$C$66:$C$71,MATCH(MONTH(Output!M5),Inputs!$D$66:$D$71,0)))</f>
        <v>9249</v>
      </c>
      <c r="N7" s="80">
        <f>IF(ISERROR(VLOOKUP(MONTH(N5),Inputs!$D$66:$D$71,1,0)),"",INDEX(Inputs!$B$66:$B$71,MATCH(MONTH(Output!N5),Inputs!$D$66:$D$71,0))-INDEX(Inputs!$C$66:$C$71,MATCH(MONTH(Output!N5),Inputs!$D$66:$D$71,0)))</f>
        <v>13350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15986</v>
      </c>
      <c r="V7" s="80">
        <f>IF(ISERROR(VLOOKUP(MONTH(V5),Inputs!$D$66:$D$71,1,0)),"",INDEX(Inputs!$B$66:$B$71,MATCH(MONTH(Output!V5),Inputs!$D$66:$D$71,0))-INDEX(Inputs!$C$66:$C$71,MATCH(MONTH(Output!V5),Inputs!$D$66:$D$71,0)))</f>
        <v>7027</v>
      </c>
      <c r="W7" s="80">
        <f>IF(ISERROR(VLOOKUP(MONTH(W5),Inputs!$D$66:$D$71,1,0)),"",INDEX(Inputs!$B$66:$B$71,MATCH(MONTH(Output!W5),Inputs!$D$66:$D$71,0))-INDEX(Inputs!$C$66:$C$71,MATCH(MONTH(Output!W5),Inputs!$D$66:$D$71,0)))</f>
        <v>20001</v>
      </c>
      <c r="X7" s="80">
        <f>IF(ISERROR(VLOOKUP(MONTH(X5),Inputs!$D$66:$D$71,1,0)),"",INDEX(Inputs!$B$66:$B$71,MATCH(MONTH(Output!X5),Inputs!$D$66:$D$71,0))-INDEX(Inputs!$C$66:$C$71,MATCH(MONTH(Output!X5),Inputs!$D$66:$D$71,0)))</f>
        <v>-2698</v>
      </c>
      <c r="Y7" s="80">
        <f>IF(ISERROR(VLOOKUP(MONTH(Y5),Inputs!$D$66:$D$71,1,0)),"",INDEX(Inputs!$B$66:$B$71,MATCH(MONTH(Output!Y5),Inputs!$D$66:$D$71,0))-INDEX(Inputs!$C$66:$C$71,MATCH(MONTH(Output!Y5),Inputs!$D$66:$D$71,0)))</f>
        <v>9249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1500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15785.71428571429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86428.57142857143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316984.1203462083</v>
      </c>
      <c r="C11" s="80">
        <f>C6+C9-C10</f>
        <v>-37290.19214141789</v>
      </c>
      <c r="D11" s="80">
        <f>D6+D9-D10</f>
        <v>-65624.00573687181</v>
      </c>
      <c r="E11" s="80">
        <f>E6+E9-E10</f>
        <v>-66524.00573687181</v>
      </c>
      <c r="F11" s="80">
        <f>F6+F9-F10</f>
        <v>289306.7652321936</v>
      </c>
      <c r="G11" s="80">
        <f>G6+G9-G10</f>
        <v>-22161.56886522879</v>
      </c>
      <c r="H11" s="80">
        <f>H6+H9-H10</f>
        <v>215484.1203462083</v>
      </c>
      <c r="I11" s="80">
        <f>I6+I9-I10</f>
        <v>-53075.90642713218</v>
      </c>
      <c r="J11" s="80">
        <f>J6+J9-J10</f>
        <v>-79909.7200225861</v>
      </c>
      <c r="K11" s="80">
        <f>K6+K9-K10</f>
        <v>-80809.7200225861</v>
      </c>
      <c r="L11" s="80">
        <f>L6+L9-L10</f>
        <v>275021.0509464794</v>
      </c>
      <c r="M11" s="80">
        <f>M6+M9-M10</f>
        <v>-36447.28315094307</v>
      </c>
      <c r="N11" s="80">
        <f>N6+N9-N10</f>
        <v>201198.406060494</v>
      </c>
      <c r="O11" s="80">
        <f>O6+O9-O10</f>
        <v>-53075.90642713218</v>
      </c>
      <c r="P11" s="80">
        <f>P6+P9-P10</f>
        <v>-64124.00573687181</v>
      </c>
      <c r="Q11" s="80">
        <f>Q6+Q9-Q10</f>
        <v>-65024.00573687181</v>
      </c>
      <c r="R11" s="80">
        <f>R6+R9-R10</f>
        <v>290806.7652321936</v>
      </c>
      <c r="S11" s="80">
        <f>S6+S9-S10</f>
        <v>-17249.06886522879</v>
      </c>
      <c r="T11" s="80">
        <f>T6+T9-T10</f>
        <v>216984.1203462083</v>
      </c>
      <c r="U11" s="80">
        <f>U6+U9-U10</f>
        <v>-37290.19214141789</v>
      </c>
      <c r="V11" s="80">
        <f>V6+V9-V10</f>
        <v>-64124.00573687181</v>
      </c>
      <c r="W11" s="80">
        <f>W6+W9-W10</f>
        <v>-65024.00573687181</v>
      </c>
      <c r="X11" s="80">
        <f>X6+X9-X10</f>
        <v>290806.7652321936</v>
      </c>
      <c r="Y11" s="80">
        <f>Y6+Y9-Y10</f>
        <v>-20661.56886522879</v>
      </c>
      <c r="Z11" s="85">
        <f>SUMIF($B$13:$Y$13,"Yes",B11:Y11)</f>
        <v>803076.1544008137</v>
      </c>
      <c r="AA11" s="80">
        <f>SUM(B11:M11)</f>
        <v>654953.6547674519</v>
      </c>
      <c r="AB11" s="46">
        <f>SUM(B11:Y11)</f>
        <v>1268176.952392047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0.006958299111617631</v>
      </c>
      <c r="E12" s="82">
        <f>IF(E13="Yes",IF(SUM($B$10:E10)/(SUM($B$6:E6)+SUM($B$9:E9))&lt;0,999.99,SUM($B$10:E10)/(SUM($B$6:E6)+SUM($B$9:E9))),"")</f>
        <v>0.01992747505307339</v>
      </c>
      <c r="F12" s="82">
        <f>IF(F13="Yes",IF(SUM($B$10:F10)/(SUM($B$6:F6)+SUM($B$9:F9))&lt;0,999.99,SUM($B$10:F10)/(SUM($B$6:F6)+SUM($B$9:F9))),"")</f>
        <v>0.01019592761956933</v>
      </c>
      <c r="G12" s="82">
        <f>IF(G13="Yes",IF(SUM($B$10:G10)/(SUM($B$6:G6)+SUM($B$9:G9))&lt;0,999.99,SUM($B$10:G10)/(SUM($B$6:G6)+SUM($B$9:G9))),"")</f>
        <v>0.01426224565528707</v>
      </c>
      <c r="H12" s="82">
        <f>IF(H13="Yes",IF(SUM($B$10:H10)/(SUM($B$6:H6)+SUM($B$9:H9))&lt;0,999.99,SUM($B$10:H10)/(SUM($B$6:H6)+SUM($B$9:H9))),"")</f>
        <v>0.01176147293582487</v>
      </c>
      <c r="I12" s="82">
        <f>IF(I13="Yes",IF(SUM($B$10:I10)/(SUM($B$6:I6)+SUM($B$9:I9))&lt;0,999.99,SUM($B$10:I10)/(SUM($B$6:I6)+SUM($B$9:I9))),"")</f>
        <v>0.0387846343326369</v>
      </c>
      <c r="J12" s="82">
        <f>IF(J13="Yes",IF(SUM($B$10:J10)/(SUM($B$6:J6)+SUM($B$9:J9))&lt;0,999.99,SUM($B$10:J10)/(SUM($B$6:J6)+SUM($B$9:J9))),"")</f>
        <v>0.0728589734851712</v>
      </c>
      <c r="K12" s="82">
        <f>IF(K13="Yes",IF(SUM($B$10:K10)/(SUM($B$6:K6)+SUM($B$9:K9))&lt;0,999.99,SUM($B$10:K10)/(SUM($B$6:K6)+SUM($B$9:K9))),"")</f>
        <v>0.1164109341683999</v>
      </c>
      <c r="L12" s="82">
        <f>IF(L13="Yes",IF(SUM($B$10:L10)/(SUM($B$6:L6)+SUM($B$9:L9))&lt;0,999.99,SUM($B$10:L10)/(SUM($B$6:L6)+SUM($B$9:L9))),"")</f>
        <v>0.09270183367503039</v>
      </c>
      <c r="M12" s="82">
        <f>IF(M13="Yes",IF(SUM($B$10:M10)/(SUM($B$6:M6)+SUM($B$9:M9))&lt;0,999.99,SUM($B$10:M10)/(SUM($B$6:M6)+SUM($B$9:M9))),"")</f>
        <v>0.1165776145889415</v>
      </c>
      <c r="N12" s="82">
        <f>IF(N13="Yes",IF(SUM($B$10:N10)/(SUM($B$6:N6)+SUM($B$9:N9))&lt;0,999.99,SUM($B$10:N10)/(SUM($B$6:N6)+SUM($B$9:N9))),"")</f>
        <v>0.1066547109913375</v>
      </c>
      <c r="O12" s="82">
        <f>IF(O13="Yes",IF(SUM($B$10:O10)/(SUM($B$6:O6)+SUM($B$9:O9))&lt;0,999.99,SUM($B$10:O10)/(SUM($B$6:O6)+SUM($B$9:O9))),"")</f>
        <v>0.1281110138789364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353930.7709690655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353930.7709690655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353930.7709690655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353930.7709690655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707861.541938131</v>
      </c>
      <c r="AA18" s="36">
        <f>SUM(B18:M18)</f>
        <v>707861.541938131</v>
      </c>
      <c r="AB18" s="36">
        <f>SUM(B18:Y18)</f>
        <v>1415723.083876262</v>
      </c>
      <c r="AC18" s="43"/>
      <c r="AD18" s="43"/>
    </row>
    <row r="19" spans="1:30">
      <c r="A19" t="str">
        <f>IF(Calculations!A5&lt;&gt;Parameters!$A$18,IF(Calculations!A5=0,"",Calculations!A5),Inputs!B8)</f>
        <v>Onions</v>
      </c>
      <c r="B19" s="36">
        <f>N19</f>
        <v>194832.7664979623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194832.7664979623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194832.7664979623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194832.7664979623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584498.2994938869</v>
      </c>
      <c r="AA19" s="36">
        <f>SUM(B19:M19)</f>
        <v>389665.5329959246</v>
      </c>
      <c r="AB19" s="36">
        <f>SUM(B19:Y19)</f>
        <v>779331.0659918492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29249.76936044306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29249.76936044306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29249.76936044306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29249.76936044306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87749.30808132917</v>
      </c>
      <c r="AA20" s="36">
        <f>SUM(B20:M20)</f>
        <v>58499.53872088611</v>
      </c>
      <c r="AB20" s="36">
        <f>SUM(B20:Y20)</f>
        <v>116999.0774417722</v>
      </c>
    </row>
    <row r="21" spans="1:30">
      <c r="A21" t="str">
        <f>IF(Calculations!A7&lt;&gt;Parameters!$A$18,IF(Calculations!A7=0,"",Calculations!A7),Inputs!B10)</f>
        <v>Maize</v>
      </c>
      <c r="B21" s="36">
        <f>N21</f>
        <v>22733.84022467479</v>
      </c>
      <c r="C21" s="36">
        <f>O21</f>
        <v>26522.81359545392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18944.86685389566</v>
      </c>
      <c r="H21" s="36">
        <f>T21</f>
        <v>22733.84022467479</v>
      </c>
      <c r="I21" s="36">
        <f>U21</f>
        <v>26522.81359545392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18944.86685389566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22733.84022467479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26522.81359545392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18944.86685389566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22733.84022467479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26522.81359545392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18944.86685389566</v>
      </c>
      <c r="Z21" s="36">
        <f>SUMIF($B$13:$Y$13,"Yes",B21:Y21)</f>
        <v>185659.6951681775</v>
      </c>
      <c r="AA21" s="36">
        <f>SUM(B21:M21)</f>
        <v>136403.0413480487</v>
      </c>
      <c r="AB21" s="36">
        <f>SUM(B21:Y21)</f>
        <v>272806.0826960975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9481.578947368416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1833.333333333333</v>
      </c>
      <c r="C24" s="36">
        <f>IFERROR(Calculations!$P14/12,"")</f>
        <v>1833.333333333333</v>
      </c>
      <c r="D24" s="36">
        <f>IFERROR(Calculations!$P14/12,"")</f>
        <v>1833.333333333333</v>
      </c>
      <c r="E24" s="36">
        <f>IFERROR(Calculations!$P14/12,"")</f>
        <v>1833.333333333333</v>
      </c>
      <c r="F24" s="36">
        <f>IFERROR(Calculations!$P14/12,"")</f>
        <v>1833.333333333333</v>
      </c>
      <c r="G24" s="36">
        <f>IFERROR(Calculations!$P14/12,"")</f>
        <v>1833.333333333333</v>
      </c>
      <c r="H24" s="36">
        <f>IFERROR(Calculations!$P14/12,"")</f>
        <v>1833.333333333333</v>
      </c>
      <c r="I24" s="36">
        <f>IFERROR(Calculations!$P14/12,"")</f>
        <v>1833.333333333333</v>
      </c>
      <c r="J24" s="36">
        <f>IFERROR(Calculations!$P14/12,"")</f>
        <v>1833.333333333333</v>
      </c>
      <c r="K24" s="36">
        <f>IFERROR(Calculations!$P14/12,"")</f>
        <v>1833.333333333333</v>
      </c>
      <c r="L24" s="36">
        <f>IFERROR(Calculations!$P14/12,"")</f>
        <v>1833.333333333333</v>
      </c>
      <c r="M24" s="36">
        <f>IFERROR(Calculations!$P14/12,"")</f>
        <v>1833.333333333333</v>
      </c>
      <c r="N24" s="36">
        <f>IFERROR(Calculations!$P14/12,"")</f>
        <v>1833.333333333333</v>
      </c>
      <c r="O24" s="36">
        <f>IFERROR(Calculations!$P14/12,"")</f>
        <v>1833.333333333333</v>
      </c>
      <c r="P24" s="36">
        <f>IFERROR(Calculations!$P14/12,"")</f>
        <v>1833.333333333333</v>
      </c>
      <c r="Q24" s="36">
        <f>IFERROR(Calculations!$P14/12,"")</f>
        <v>1833.333333333333</v>
      </c>
      <c r="R24" s="36">
        <f>IFERROR(Calculations!$P14/12,"")</f>
        <v>1833.333333333333</v>
      </c>
      <c r="S24" s="36">
        <f>IFERROR(Calculations!$P14/12,"")</f>
        <v>1833.333333333333</v>
      </c>
      <c r="T24" s="36">
        <f>IFERROR(Calculations!$P14/12,"")</f>
        <v>1833.333333333333</v>
      </c>
      <c r="U24" s="36">
        <f>IFERROR(Calculations!$P14/12,"")</f>
        <v>1833.333333333333</v>
      </c>
      <c r="V24" s="36">
        <f>IFERROR(Calculations!$P14/12,"")</f>
        <v>1833.333333333333</v>
      </c>
      <c r="W24" s="36">
        <f>IFERROR(Calculations!$P14/12,"")</f>
        <v>1833.333333333333</v>
      </c>
      <c r="X24" s="36">
        <f>IFERROR(Calculations!$P14/12,"")</f>
        <v>1833.333333333333</v>
      </c>
      <c r="Y24" s="36">
        <f>IFERROR(Calculations!$P14/12,"")</f>
        <v>1833.333333333333</v>
      </c>
      <c r="Z24" s="36">
        <f>SUMIF($B$13:$Y$13,"Yes",B24:Y24)</f>
        <v>25666.66666666666</v>
      </c>
      <c r="AA24" s="36">
        <f>SUM(B24:M24)</f>
        <v>22000</v>
      </c>
      <c r="AB24" s="46">
        <f>SUM(B24:Y24)</f>
        <v>44000.00000000001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1355.714285714286</v>
      </c>
      <c r="C25" s="36">
        <f>IFERROR(Calculations!$P15/12,"")</f>
        <v>1355.714285714286</v>
      </c>
      <c r="D25" s="36">
        <f>IFERROR(Calculations!$P15/12,"")</f>
        <v>1355.714285714286</v>
      </c>
      <c r="E25" s="36">
        <f>IFERROR(Calculations!$P15/12,"")</f>
        <v>1355.714285714286</v>
      </c>
      <c r="F25" s="36">
        <f>IFERROR(Calculations!$P15/12,"")</f>
        <v>1355.714285714286</v>
      </c>
      <c r="G25" s="36">
        <f>IFERROR(Calculations!$P15/12,"")</f>
        <v>1355.714285714286</v>
      </c>
      <c r="H25" s="36">
        <f>IFERROR(Calculations!$P15/12,"")</f>
        <v>1355.714285714286</v>
      </c>
      <c r="I25" s="36">
        <f>IFERROR(Calculations!$P15/12,"")</f>
        <v>1355.714285714286</v>
      </c>
      <c r="J25" s="36">
        <f>IFERROR(Calculations!$P15/12,"")</f>
        <v>1355.714285714286</v>
      </c>
      <c r="K25" s="36">
        <f>IFERROR(Calculations!$P15/12,"")</f>
        <v>1355.714285714286</v>
      </c>
      <c r="L25" s="36">
        <f>IFERROR(Calculations!$P15/12,"")</f>
        <v>1355.714285714286</v>
      </c>
      <c r="M25" s="36">
        <f>IFERROR(Calculations!$P15/12,"")</f>
        <v>1355.714285714286</v>
      </c>
      <c r="N25" s="36">
        <f>IFERROR(Calculations!$P15/12,"")</f>
        <v>1355.714285714286</v>
      </c>
      <c r="O25" s="36">
        <f>IFERROR(Calculations!$P15/12,"")</f>
        <v>1355.714285714286</v>
      </c>
      <c r="P25" s="36">
        <f>IFERROR(Calculations!$P15/12,"")</f>
        <v>1355.714285714286</v>
      </c>
      <c r="Q25" s="36">
        <f>IFERROR(Calculations!$P15/12,"")</f>
        <v>1355.714285714286</v>
      </c>
      <c r="R25" s="36">
        <f>IFERROR(Calculations!$P15/12,"")</f>
        <v>1355.714285714286</v>
      </c>
      <c r="S25" s="36">
        <f>IFERROR(Calculations!$P15/12,"")</f>
        <v>1355.714285714286</v>
      </c>
      <c r="T25" s="36">
        <f>IFERROR(Calculations!$P15/12,"")</f>
        <v>1355.714285714286</v>
      </c>
      <c r="U25" s="36">
        <f>IFERROR(Calculations!$P15/12,"")</f>
        <v>1355.714285714286</v>
      </c>
      <c r="V25" s="36">
        <f>IFERROR(Calculations!$P15/12,"")</f>
        <v>1355.714285714286</v>
      </c>
      <c r="W25" s="36">
        <f>IFERROR(Calculations!$P15/12,"")</f>
        <v>1355.714285714286</v>
      </c>
      <c r="X25" s="36">
        <f>IFERROR(Calculations!$P15/12,"")</f>
        <v>1355.714285714286</v>
      </c>
      <c r="Y25" s="36">
        <f>IFERROR(Calculations!$P15/12,"")</f>
        <v>1355.714285714286</v>
      </c>
      <c r="Z25" s="36">
        <f>SUMIF($B$13:$Y$13,"Yes",B25:Y25)</f>
        <v>18980</v>
      </c>
      <c r="AA25" s="36">
        <f>SUM(B25:M25)</f>
        <v>16268.57142857143</v>
      </c>
      <c r="AB25" s="46">
        <f>SUM(B25:Y25)</f>
        <v>32537.14285714286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3412.5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3412.5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13000</v>
      </c>
      <c r="C29" s="37">
        <f>Inputs!$B$30</f>
        <v>13000</v>
      </c>
      <c r="D29" s="37">
        <f>Inputs!$B$30</f>
        <v>13000</v>
      </c>
      <c r="E29" s="37">
        <f>Inputs!$B$30</f>
        <v>13000</v>
      </c>
      <c r="F29" s="37">
        <f>Inputs!$B$30</f>
        <v>13000</v>
      </c>
      <c r="G29" s="37">
        <f>Inputs!$B$30</f>
        <v>13000</v>
      </c>
      <c r="H29" s="37">
        <f>Inputs!$B$30</f>
        <v>13000</v>
      </c>
      <c r="I29" s="37">
        <f>Inputs!$B$30</f>
        <v>13000</v>
      </c>
      <c r="J29" s="37">
        <f>Inputs!$B$30</f>
        <v>13000</v>
      </c>
      <c r="K29" s="37">
        <f>Inputs!$B$30</f>
        <v>13000</v>
      </c>
      <c r="L29" s="37">
        <f>Inputs!$B$30</f>
        <v>13000</v>
      </c>
      <c r="M29" s="37">
        <f>Inputs!$B$30</f>
        <v>13000</v>
      </c>
      <c r="N29" s="37">
        <f>Inputs!$B$30</f>
        <v>13000</v>
      </c>
      <c r="O29" s="37">
        <f>Inputs!$B$30</f>
        <v>13000</v>
      </c>
      <c r="P29" s="37">
        <f>Inputs!$B$30</f>
        <v>13000</v>
      </c>
      <c r="Q29" s="37">
        <f>Inputs!$B$30</f>
        <v>13000</v>
      </c>
      <c r="R29" s="37">
        <f>Inputs!$B$30</f>
        <v>13000</v>
      </c>
      <c r="S29" s="37">
        <f>Inputs!$B$30</f>
        <v>13000</v>
      </c>
      <c r="T29" s="37">
        <f>Inputs!$B$30</f>
        <v>13000</v>
      </c>
      <c r="U29" s="37">
        <f>Inputs!$B$30</f>
        <v>13000</v>
      </c>
      <c r="V29" s="37">
        <f>Inputs!$B$30</f>
        <v>13000</v>
      </c>
      <c r="W29" s="37">
        <f>Inputs!$B$30</f>
        <v>13000</v>
      </c>
      <c r="X29" s="37">
        <f>Inputs!$B$30</f>
        <v>13000</v>
      </c>
      <c r="Y29" s="37">
        <f>Inputs!$B$30</f>
        <v>13000</v>
      </c>
      <c r="Z29" s="37">
        <f>SUMIF($B$13:$Y$13,"Yes",B29:Y29)</f>
        <v>182000</v>
      </c>
      <c r="AA29" s="37">
        <f>SUM(B29:M29)</f>
        <v>156000</v>
      </c>
      <c r="AB29" s="37">
        <f>SUM(B29:Y29)</f>
        <v>312000</v>
      </c>
    </row>
    <row r="30" spans="1:30" customHeight="1" ht="15.75">
      <c r="A30" s="1" t="s">
        <v>37</v>
      </c>
      <c r="B30" s="19">
        <f>SUM(B18:B29)</f>
        <v>263005.4237021278</v>
      </c>
      <c r="C30" s="19">
        <f>SUM(C18:C29)</f>
        <v>42711.86121450154</v>
      </c>
      <c r="D30" s="19">
        <f>SUM(D18:D29)</f>
        <v>16189.04761904762</v>
      </c>
      <c r="E30" s="19">
        <f>SUM(E18:E29)</f>
        <v>16189.04761904762</v>
      </c>
      <c r="F30" s="19">
        <f>SUM(F18:F29)</f>
        <v>370119.8185881131</v>
      </c>
      <c r="G30" s="19">
        <f>SUM(G18:G29)</f>
        <v>35133.91447294327</v>
      </c>
      <c r="H30" s="19">
        <f>SUM(H18:H29)</f>
        <v>263005.4237021278</v>
      </c>
      <c r="I30" s="19">
        <f>SUM(I18:I29)</f>
        <v>42711.86121450154</v>
      </c>
      <c r="J30" s="19">
        <f>SUM(J18:J29)</f>
        <v>16189.04761904762</v>
      </c>
      <c r="K30" s="19">
        <f>SUM(K18:K29)</f>
        <v>16189.04761904762</v>
      </c>
      <c r="L30" s="19">
        <f>SUM(L18:L29)</f>
        <v>370119.8185881131</v>
      </c>
      <c r="M30" s="19">
        <f>SUM(M18:M29)</f>
        <v>35133.91447294327</v>
      </c>
      <c r="N30" s="19">
        <f>SUM(N18:N29)</f>
        <v>263005.4237021278</v>
      </c>
      <c r="O30" s="19">
        <f>SUM(O18:O29)</f>
        <v>42711.86121450154</v>
      </c>
      <c r="P30" s="19">
        <f>SUM(P18:P29)</f>
        <v>16189.04761904762</v>
      </c>
      <c r="Q30" s="19">
        <f>SUM(Q18:Q29)</f>
        <v>16189.04761904762</v>
      </c>
      <c r="R30" s="19">
        <f>SUM(R18:R29)</f>
        <v>370119.8185881131</v>
      </c>
      <c r="S30" s="19">
        <f>SUM(S18:S29)</f>
        <v>38546.41447294327</v>
      </c>
      <c r="T30" s="19">
        <f>SUM(T18:T29)</f>
        <v>263005.4237021278</v>
      </c>
      <c r="U30" s="19">
        <f>SUM(U18:U29)</f>
        <v>42711.86121450154</v>
      </c>
      <c r="V30" s="19">
        <f>SUM(V18:V29)</f>
        <v>16189.04761904762</v>
      </c>
      <c r="W30" s="19">
        <f>SUM(W18:W29)</f>
        <v>16189.04761904762</v>
      </c>
      <c r="X30" s="19">
        <f>SUM(X18:X29)</f>
        <v>370119.8185881131</v>
      </c>
      <c r="Y30" s="19">
        <f>SUM(Y18:Y29)</f>
        <v>35133.91447294327</v>
      </c>
      <c r="Z30" s="19">
        <f>SUMIF($B$13:$Y$13,"Yes",B30:Y30)</f>
        <v>1792415.511348191</v>
      </c>
      <c r="AA30" s="19">
        <f>SUM(B30:M30)</f>
        <v>1486698.226431562</v>
      </c>
      <c r="AB30" s="19">
        <f>SUM(B30:Y30)</f>
        <v>2976808.952863123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12000</v>
      </c>
      <c r="D36" s="36">
        <f>P36</f>
        <v>4000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12000</v>
      </c>
      <c r="J36" s="36">
        <f>V36</f>
        <v>4000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12000</v>
      </c>
      <c r="P36" s="36">
        <f>SUM(P37:P41)</f>
        <v>4000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12000</v>
      </c>
      <c r="V36" s="36">
        <f>SUM(V37:V41)</f>
        <v>4000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44000</v>
      </c>
      <c r="AA36" s="36">
        <f>SUM(B36:M36)</f>
        <v>32000</v>
      </c>
      <c r="AB36" s="36">
        <f>SUM(B36:Y36)</f>
        <v>64000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4000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4000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Onions</v>
      </c>
      <c r="B38" s="36">
        <f>N38</f>
        <v>0</v>
      </c>
      <c r="C38" s="36">
        <f>O38</f>
        <v>2000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2000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2000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2000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6000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Beans</v>
      </c>
      <c r="B39" s="36">
        <f>N39</f>
        <v>0</v>
      </c>
      <c r="C39" s="36">
        <f>O39</f>
        <v>0</v>
      </c>
      <c r="D39" s="36">
        <f>P39</f>
        <v>4000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4000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4000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4000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8000</v>
      </c>
      <c r="AA39" s="36">
        <f>SUM(B39:M39)</f>
        <v>8000</v>
      </c>
      <c r="AB39" s="36">
        <f>SUM(B39:Y39)</f>
        <v>16000</v>
      </c>
      <c r="AC39" s="73"/>
    </row>
    <row r="40" spans="1:30" hidden="true" outlineLevel="1">
      <c r="A40" s="181" t="str">
        <f>Calculations!$A$7</f>
        <v>Maize</v>
      </c>
      <c r="B40" s="36">
        <f>N40</f>
        <v>0</v>
      </c>
      <c r="C40" s="36">
        <f>O40</f>
        <v>6000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6000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6000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6000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18000</v>
      </c>
      <c r="AA40" s="36">
        <f>SUM(B40:M40)</f>
        <v>12000</v>
      </c>
      <c r="AB40" s="36">
        <f>SUM(B40:Y40)</f>
        <v>24000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3909</v>
      </c>
      <c r="D42" s="36">
        <f>P42</f>
        <v>5000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3909</v>
      </c>
      <c r="J42" s="36">
        <f>V42</f>
        <v>5000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3909</v>
      </c>
      <c r="P42" s="36">
        <f>SUM(P43:P47)</f>
        <v>5000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3909</v>
      </c>
      <c r="V42" s="36">
        <f>SUM(V43:V47)</f>
        <v>5000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21727</v>
      </c>
      <c r="AA42" s="36">
        <f>SUM(B42:M42)</f>
        <v>17818</v>
      </c>
      <c r="AB42" s="36">
        <f>SUM(B42:Y42)</f>
        <v>35636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1500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1500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1500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1500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4500</v>
      </c>
      <c r="AA43" s="36">
        <f>SUM(B43:M43)</f>
        <v>3000</v>
      </c>
      <c r="AB43" s="36">
        <f>SUM(B43:Y43)</f>
        <v>6000</v>
      </c>
    </row>
    <row r="44" spans="1:30" hidden="true" outlineLevel="1">
      <c r="A44" s="181" t="str">
        <f>Calculations!$A$5</f>
        <v>Onions</v>
      </c>
      <c r="B44" s="36">
        <f>N44</f>
        <v>0</v>
      </c>
      <c r="C44" s="36">
        <f>O44</f>
        <v>1500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1500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1500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1500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4500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1" t="str">
        <f>Calculations!$A$6</f>
        <v>Beans</v>
      </c>
      <c r="B45" s="36">
        <f>N45</f>
        <v>0</v>
      </c>
      <c r="C45" s="36">
        <f>O45</f>
        <v>0</v>
      </c>
      <c r="D45" s="36">
        <f>P45</f>
        <v>5000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5000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5000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5000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10000</v>
      </c>
      <c r="AA45" s="36">
        <f>SUM(B45:M45)</f>
        <v>10000</v>
      </c>
      <c r="AB45" s="36">
        <f>SUM(B45:Y45)</f>
        <v>20000</v>
      </c>
    </row>
    <row r="46" spans="1:30" hidden="true" outlineLevel="1">
      <c r="A46" s="181" t="str">
        <f>Calculations!$A$7</f>
        <v>Maize</v>
      </c>
      <c r="B46" s="36">
        <f>N46</f>
        <v>0</v>
      </c>
      <c r="C46" s="36">
        <f>O46</f>
        <v>909.0000000000002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909.0000000000002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909.0000000000002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909.0000000000002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2727.000000000001</v>
      </c>
      <c r="AA46" s="36">
        <f>SUM(B46:M46)</f>
        <v>1818</v>
      </c>
      <c r="AB46" s="36">
        <f>SUM(B46:Y46)</f>
        <v>3636.000000000001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9900</v>
      </c>
      <c r="F48" s="36">
        <f>R48</f>
        <v>8000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9900</v>
      </c>
      <c r="L48" s="36">
        <f>X48</f>
        <v>8000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9900</v>
      </c>
      <c r="R48" s="46">
        <f>SUM(R49:R53)</f>
        <v>8000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9900</v>
      </c>
      <c r="X48" s="46">
        <f>SUM(X49:X53)</f>
        <v>8000</v>
      </c>
      <c r="Y48" s="46">
        <f>SUM(Y49:Y53)</f>
        <v>0</v>
      </c>
      <c r="Z48" s="46">
        <f>SUMIF($B$13:$Y$13,"Yes",B48:Y48)</f>
        <v>35800</v>
      </c>
      <c r="AA48" s="46">
        <f>SUM(B48:M48)</f>
        <v>35800</v>
      </c>
      <c r="AB48" s="46">
        <f>SUM(B48:Y48)</f>
        <v>71600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9000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9000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9000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9000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18000</v>
      </c>
      <c r="AA49" s="46">
        <f>SUM(B49:M49)</f>
        <v>18000</v>
      </c>
      <c r="AB49" s="46">
        <f>SUM(B49:Y49)</f>
        <v>36000</v>
      </c>
    </row>
    <row r="50" spans="1:30" hidden="true" outlineLevel="1">
      <c r="A50" s="181" t="str">
        <f>Calculations!$A$5</f>
        <v>Onions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2000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2000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2000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2000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4000</v>
      </c>
      <c r="AA50" s="46">
        <f>SUM(B50:M50)</f>
        <v>4000</v>
      </c>
      <c r="AB50" s="46">
        <f>SUM(B50:Y50)</f>
        <v>8000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6000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6000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6000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6000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12000</v>
      </c>
      <c r="AA51" s="46">
        <f>SUM(B51:M51)</f>
        <v>12000</v>
      </c>
      <c r="AB51" s="46">
        <f>SUM(B51:Y51)</f>
        <v>24000</v>
      </c>
    </row>
    <row r="52" spans="1:30" hidden="true" outlineLevel="1">
      <c r="A52" s="181" t="str">
        <f>Calculations!$A$7</f>
        <v>Maize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900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900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900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900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1800</v>
      </c>
      <c r="AA52" s="46">
        <f>SUM(B52:M52)</f>
        <v>1800</v>
      </c>
      <c r="AB52" s="46">
        <f>SUM(B52:Y52)</f>
        <v>3600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3276.179982252633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3276.179982252633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3276.179982252633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3276.179982252633</v>
      </c>
      <c r="Z54" s="46">
        <f>SUMIF($B$13:$Y$13,"Yes",B54:Y54)</f>
        <v>6552.359964505265</v>
      </c>
      <c r="AA54" s="46">
        <f>SUM(B54:M54)</f>
        <v>6552.359964505265</v>
      </c>
      <c r="AB54" s="46">
        <f>SUM(B54:Y54)</f>
        <v>13104.71992901053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Onions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Maize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3276.179982252633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3276.179982252633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3276.179982252633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3276.179982252633</v>
      </c>
      <c r="Z58" s="46">
        <f>SUMIF($B$13:$Y$13,"Yes",B58:Y58)</f>
        <v>6552.359964505265</v>
      </c>
      <c r="AA58" s="46">
        <f>SUM(B58:M58)</f>
        <v>6552.359964505265</v>
      </c>
      <c r="AB58" s="46">
        <f>SUM(B58:Y58)</f>
        <v>13104.71992901053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3000</v>
      </c>
      <c r="D60" s="36">
        <f>P60</f>
        <v>3000</v>
      </c>
      <c r="E60" s="36">
        <f>Q60</f>
        <v>3000</v>
      </c>
      <c r="F60" s="36">
        <f>R60</f>
        <v>3000</v>
      </c>
      <c r="G60" s="36">
        <f>S60</f>
        <v>0</v>
      </c>
      <c r="H60" s="36">
        <f>T60</f>
        <v>0</v>
      </c>
      <c r="I60" s="36">
        <f>U60</f>
        <v>3000</v>
      </c>
      <c r="J60" s="36">
        <f>V60</f>
        <v>3000</v>
      </c>
      <c r="K60" s="36">
        <f>W60</f>
        <v>3000</v>
      </c>
      <c r="L60" s="36">
        <f>X60</f>
        <v>3000</v>
      </c>
      <c r="M60" s="36">
        <f>Y60</f>
        <v>0</v>
      </c>
      <c r="N60" s="46">
        <f>SUM(N61:N65)</f>
        <v>0</v>
      </c>
      <c r="O60" s="46">
        <f>SUM(O61:O65)</f>
        <v>3000</v>
      </c>
      <c r="P60" s="46">
        <f>SUM(P61:P65)</f>
        <v>3000</v>
      </c>
      <c r="Q60" s="46">
        <f>SUM(Q61:Q65)</f>
        <v>3000</v>
      </c>
      <c r="R60" s="46">
        <f>SUM(R61:R65)</f>
        <v>3000</v>
      </c>
      <c r="S60" s="46">
        <f>SUM(S61:S65)</f>
        <v>0</v>
      </c>
      <c r="T60" s="46">
        <f>SUM(T61:T65)</f>
        <v>0</v>
      </c>
      <c r="U60" s="46">
        <f>SUM(U61:U65)</f>
        <v>3000</v>
      </c>
      <c r="V60" s="46">
        <f>SUM(V61:V65)</f>
        <v>3000</v>
      </c>
      <c r="W60" s="46">
        <f>SUM(W61:W65)</f>
        <v>3000</v>
      </c>
      <c r="X60" s="46">
        <f>SUM(X61:X65)</f>
        <v>3000</v>
      </c>
      <c r="Y60" s="46">
        <f>SUM(Y61:Y65)</f>
        <v>0</v>
      </c>
      <c r="Z60" s="46">
        <f>SUMIF($B$13:$Y$13,"Yes",B60:Y60)</f>
        <v>27000</v>
      </c>
      <c r="AA60" s="46">
        <f>SUM(B60:M60)</f>
        <v>24000</v>
      </c>
      <c r="AB60" s="46">
        <f>SUM(B60:Y60)</f>
        <v>48000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3000</v>
      </c>
      <c r="D61" s="36">
        <f>P61</f>
        <v>3000</v>
      </c>
      <c r="E61" s="36">
        <f>Q61</f>
        <v>3000</v>
      </c>
      <c r="F61" s="36">
        <f>R61</f>
        <v>3000</v>
      </c>
      <c r="G61" s="36">
        <f>S61</f>
        <v>0</v>
      </c>
      <c r="H61" s="36">
        <f>T61</f>
        <v>0</v>
      </c>
      <c r="I61" s="36">
        <f>U61</f>
        <v>3000</v>
      </c>
      <c r="J61" s="36">
        <f>V61</f>
        <v>3000</v>
      </c>
      <c r="K61" s="36">
        <f>W61</f>
        <v>3000</v>
      </c>
      <c r="L61" s="36">
        <f>X61</f>
        <v>3000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3000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3000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3000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3000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3000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3000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3000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3000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27000</v>
      </c>
      <c r="AA61" s="46">
        <f>SUM(B61:M61)</f>
        <v>24000</v>
      </c>
      <c r="AB61" s="46">
        <f>SUM(B61:Y61)</f>
        <v>48000</v>
      </c>
    </row>
    <row r="62" spans="1:30" hidden="true" outlineLevel="1">
      <c r="A62" s="181" t="str">
        <f>Calculations!$A$5</f>
        <v>Onions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Maize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9476.25</v>
      </c>
      <c r="C66" s="36">
        <f>O66</f>
        <v>24548</v>
      </c>
      <c r="D66" s="36">
        <f>P66</f>
        <v>31768</v>
      </c>
      <c r="E66" s="36">
        <f>Q66</f>
        <v>31768</v>
      </c>
      <c r="F66" s="36">
        <f>R66</f>
        <v>31768</v>
      </c>
      <c r="G66" s="36">
        <f>S66</f>
        <v>15974.25</v>
      </c>
      <c r="H66" s="36">
        <f>T66</f>
        <v>9476.25</v>
      </c>
      <c r="I66" s="36">
        <f>U66</f>
        <v>24548</v>
      </c>
      <c r="J66" s="36">
        <f>V66</f>
        <v>31768</v>
      </c>
      <c r="K66" s="36">
        <f>W66</f>
        <v>31768</v>
      </c>
      <c r="L66" s="36">
        <f>X66</f>
        <v>31768</v>
      </c>
      <c r="M66" s="36">
        <f>Y66</f>
        <v>15974.25</v>
      </c>
      <c r="N66" s="46">
        <f>SUM(N67:N71)</f>
        <v>9476.25</v>
      </c>
      <c r="O66" s="46">
        <f>SUM(O67:O71)</f>
        <v>24548</v>
      </c>
      <c r="P66" s="46">
        <f>SUM(P67:P71)</f>
        <v>31768</v>
      </c>
      <c r="Q66" s="46">
        <f>SUM(Q67:Q71)</f>
        <v>31768</v>
      </c>
      <c r="R66" s="46">
        <f>SUM(R67:R71)</f>
        <v>31768</v>
      </c>
      <c r="S66" s="46">
        <f>SUM(S67:S71)</f>
        <v>15974.25</v>
      </c>
      <c r="T66" s="46">
        <f>SUM(T67:T71)</f>
        <v>9476.25</v>
      </c>
      <c r="U66" s="46">
        <f>SUM(U67:U71)</f>
        <v>24548</v>
      </c>
      <c r="V66" s="46">
        <f>SUM(V67:V71)</f>
        <v>31768</v>
      </c>
      <c r="W66" s="46">
        <f>SUM(W67:W71)</f>
        <v>31768</v>
      </c>
      <c r="X66" s="46">
        <f>SUM(X67:X71)</f>
        <v>31768</v>
      </c>
      <c r="Y66" s="46">
        <f>SUM(Y67:Y71)</f>
        <v>15974.25</v>
      </c>
      <c r="Z66" s="46">
        <f>SUMIF($B$13:$Y$13,"Yes",B66:Y66)</f>
        <v>324629.25</v>
      </c>
      <c r="AA66" s="46">
        <f>SUM(B66:M66)</f>
        <v>290605</v>
      </c>
      <c r="AB66" s="46">
        <f>SUM(B66:Y66)</f>
        <v>581210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15793.75</v>
      </c>
      <c r="D67" s="36">
        <f>P67</f>
        <v>15793.75</v>
      </c>
      <c r="E67" s="36">
        <f>Q67</f>
        <v>15793.75</v>
      </c>
      <c r="F67" s="36">
        <f>R67</f>
        <v>15793.75</v>
      </c>
      <c r="G67" s="36">
        <f>S67</f>
        <v>0</v>
      </c>
      <c r="H67" s="36">
        <f>T67</f>
        <v>0</v>
      </c>
      <c r="I67" s="36">
        <f>U67</f>
        <v>15793.75</v>
      </c>
      <c r="J67" s="36">
        <f>V67</f>
        <v>15793.75</v>
      </c>
      <c r="K67" s="36">
        <f>W67</f>
        <v>15793.75</v>
      </c>
      <c r="L67" s="36">
        <f>X67</f>
        <v>15793.75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15793.75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15793.75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15793.75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15793.75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15793.75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15793.75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15793.75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15793.75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142143.75</v>
      </c>
      <c r="AA67" s="46">
        <f>SUM(B67:M67)</f>
        <v>126350</v>
      </c>
      <c r="AB67" s="46">
        <f>SUM(B67:Y67)</f>
        <v>252700</v>
      </c>
    </row>
    <row r="68" spans="1:30" hidden="true" outlineLevel="1">
      <c r="A68" s="181" t="str">
        <f>Calculations!$A$5</f>
        <v>Onions</v>
      </c>
      <c r="B68" s="36">
        <f>N68</f>
        <v>2256.25</v>
      </c>
      <c r="C68" s="36">
        <f>O68</f>
        <v>2256.25</v>
      </c>
      <c r="D68" s="36">
        <f>P68</f>
        <v>2256.25</v>
      </c>
      <c r="E68" s="36">
        <f>Q68</f>
        <v>2256.25</v>
      </c>
      <c r="F68" s="36">
        <f>R68</f>
        <v>2256.25</v>
      </c>
      <c r="G68" s="36">
        <f>S68</f>
        <v>2256.25</v>
      </c>
      <c r="H68" s="36">
        <f>T68</f>
        <v>2256.25</v>
      </c>
      <c r="I68" s="36">
        <f>U68</f>
        <v>2256.25</v>
      </c>
      <c r="J68" s="36">
        <f>V68</f>
        <v>2256.25</v>
      </c>
      <c r="K68" s="36">
        <f>W68</f>
        <v>2256.25</v>
      </c>
      <c r="L68" s="36">
        <f>X68</f>
        <v>2256.25</v>
      </c>
      <c r="M68" s="36">
        <f>Y68</f>
        <v>2256.25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2256.25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2256.25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2256.25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2256.25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2256.25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2256.25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2256.25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2256.25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2256.25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2256.25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2256.25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2256.25</v>
      </c>
      <c r="Z68" s="46">
        <f>SUMIF($B$13:$Y$13,"Yes",B68:Y68)</f>
        <v>31587.5</v>
      </c>
      <c r="AA68" s="46">
        <f>SUM(B68:M68)</f>
        <v>27075</v>
      </c>
      <c r="AB68" s="46">
        <f>SUM(B68:Y68)</f>
        <v>54150</v>
      </c>
    </row>
    <row r="69" spans="1:30" hidden="true" outlineLevel="1">
      <c r="A69" s="181" t="str">
        <f>Calculations!$A$6</f>
        <v>Beans</v>
      </c>
      <c r="B69" s="36">
        <f>N69</f>
        <v>7220</v>
      </c>
      <c r="C69" s="36">
        <f>O69</f>
        <v>0</v>
      </c>
      <c r="D69" s="36">
        <f>P69</f>
        <v>7220</v>
      </c>
      <c r="E69" s="36">
        <f>Q69</f>
        <v>7220</v>
      </c>
      <c r="F69" s="36">
        <f>R69</f>
        <v>7220</v>
      </c>
      <c r="G69" s="36">
        <f>S69</f>
        <v>7220</v>
      </c>
      <c r="H69" s="36">
        <f>T69</f>
        <v>7220</v>
      </c>
      <c r="I69" s="36">
        <f>U69</f>
        <v>0</v>
      </c>
      <c r="J69" s="36">
        <f>V69</f>
        <v>7220</v>
      </c>
      <c r="K69" s="36">
        <f>W69</f>
        <v>7220</v>
      </c>
      <c r="L69" s="36">
        <f>X69</f>
        <v>7220</v>
      </c>
      <c r="M69" s="36">
        <f>Y69</f>
        <v>7220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7220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7220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7220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7220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7220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7220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7220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7220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7220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7220</v>
      </c>
      <c r="Z69" s="46">
        <f>SUMIF($B$13:$Y$13,"Yes",B69:Y69)</f>
        <v>79420</v>
      </c>
      <c r="AA69" s="46">
        <f>SUM(B69:M69)</f>
        <v>72200</v>
      </c>
      <c r="AB69" s="46">
        <f>SUM(B69:Y69)</f>
        <v>144400</v>
      </c>
    </row>
    <row r="70" spans="1:30" hidden="true" outlineLevel="1">
      <c r="A70" s="181" t="str">
        <f>Calculations!$A$7</f>
        <v>Maize</v>
      </c>
      <c r="B70" s="36">
        <f>N70</f>
        <v>0</v>
      </c>
      <c r="C70" s="36">
        <f>O70</f>
        <v>6498</v>
      </c>
      <c r="D70" s="36">
        <f>P70</f>
        <v>6498</v>
      </c>
      <c r="E70" s="36">
        <f>Q70</f>
        <v>6498</v>
      </c>
      <c r="F70" s="36">
        <f>R70</f>
        <v>6498</v>
      </c>
      <c r="G70" s="36">
        <f>S70</f>
        <v>6498</v>
      </c>
      <c r="H70" s="36">
        <f>T70</f>
        <v>0</v>
      </c>
      <c r="I70" s="36">
        <f>U70</f>
        <v>6498</v>
      </c>
      <c r="J70" s="36">
        <f>V70</f>
        <v>6498</v>
      </c>
      <c r="K70" s="36">
        <f>W70</f>
        <v>6498</v>
      </c>
      <c r="L70" s="36">
        <f>X70</f>
        <v>6498</v>
      </c>
      <c r="M70" s="36">
        <f>Y70</f>
        <v>6498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6498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6498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6498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6498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6498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6498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6498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6498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6498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6498</v>
      </c>
      <c r="Z70" s="46">
        <f>SUMIF($B$13:$Y$13,"Yes",B70:Y70)</f>
        <v>71478</v>
      </c>
      <c r="AA70" s="46">
        <f>SUM(B70:M70)</f>
        <v>64980</v>
      </c>
      <c r="AB70" s="46">
        <f>SUM(B70:Y70)</f>
        <v>129960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319.375</v>
      </c>
      <c r="C74" s="46">
        <f>SUM(Calculations!$Q$14:$Q$16)/12</f>
        <v>319.375</v>
      </c>
      <c r="D74" s="46">
        <f>SUM(Calculations!$Q$14:$Q$16)/12</f>
        <v>319.375</v>
      </c>
      <c r="E74" s="46">
        <f>SUM(Calculations!$Q$14:$Q$16)/12</f>
        <v>319.375</v>
      </c>
      <c r="F74" s="46">
        <f>SUM(Calculations!$Q$14:$Q$16)/12</f>
        <v>319.375</v>
      </c>
      <c r="G74" s="46">
        <f>SUM(Calculations!$Q$14:$Q$16)/12</f>
        <v>319.375</v>
      </c>
      <c r="H74" s="46">
        <f>SUM(Calculations!$Q$14:$Q$16)/12</f>
        <v>319.375</v>
      </c>
      <c r="I74" s="46">
        <f>SUM(Calculations!$Q$14:$Q$16)/12</f>
        <v>319.375</v>
      </c>
      <c r="J74" s="46">
        <f>SUM(Calculations!$Q$14:$Q$16)/12</f>
        <v>319.375</v>
      </c>
      <c r="K74" s="46">
        <f>SUM(Calculations!$Q$14:$Q$16)/12</f>
        <v>319.375</v>
      </c>
      <c r="L74" s="46">
        <f>SUM(Calculations!$Q$14:$Q$16)/12</f>
        <v>319.375</v>
      </c>
      <c r="M74" s="46">
        <f>SUM(Calculations!$Q$14:$Q$16)/12</f>
        <v>319.375</v>
      </c>
      <c r="N74" s="46">
        <f>SUM(Calculations!$Q$14:$Q$16)/12</f>
        <v>319.375</v>
      </c>
      <c r="O74" s="46">
        <f>SUM(Calculations!$Q$14:$Q$16)/12</f>
        <v>319.375</v>
      </c>
      <c r="P74" s="46">
        <f>SUM(Calculations!$Q$14:$Q$16)/12</f>
        <v>319.375</v>
      </c>
      <c r="Q74" s="46">
        <f>SUM(Calculations!$Q$14:$Q$16)/12</f>
        <v>319.375</v>
      </c>
      <c r="R74" s="46">
        <f>SUM(Calculations!$Q$14:$Q$16)/12</f>
        <v>319.375</v>
      </c>
      <c r="S74" s="46">
        <f>SUM(Calculations!$Q$14:$Q$16)/12</f>
        <v>319.375</v>
      </c>
      <c r="T74" s="46">
        <f>SUM(Calculations!$Q$14:$Q$16)/12</f>
        <v>319.375</v>
      </c>
      <c r="U74" s="46">
        <f>SUM(Calculations!$Q$14:$Q$16)/12</f>
        <v>319.375</v>
      </c>
      <c r="V74" s="46">
        <f>SUM(Calculations!$Q$14:$Q$16)/12</f>
        <v>319.375</v>
      </c>
      <c r="W74" s="46">
        <f>SUM(Calculations!$Q$14:$Q$16)/12</f>
        <v>319.375</v>
      </c>
      <c r="X74" s="46">
        <f>SUM(Calculations!$Q$14:$Q$16)/12</f>
        <v>319.375</v>
      </c>
      <c r="Y74" s="46">
        <f>SUM(Calculations!$Q$14:$Q$16)/12</f>
        <v>319.375</v>
      </c>
      <c r="Z74" s="46">
        <f>SUMIF($B$13:$Y$13,"Yes",B74:Y74)</f>
        <v>4471.25</v>
      </c>
      <c r="AA74" s="46">
        <f>SUM(B74:M74)</f>
        <v>3832.5</v>
      </c>
      <c r="AB74" s="46">
        <f>SUM(B74:Y74)</f>
        <v>7665</v>
      </c>
    </row>
    <row r="75" spans="1:30">
      <c r="A75" s="16" t="s">
        <v>47</v>
      </c>
      <c r="B75" s="46">
        <f>SUM(Calculations!$R$14:$R$16)/12</f>
        <v>198.2666666666667</v>
      </c>
      <c r="C75" s="46">
        <f>SUM(Calculations!$R$14:$R$16)/12</f>
        <v>198.2666666666667</v>
      </c>
      <c r="D75" s="46">
        <f>SUM(Calculations!$R$14:$R$16)/12</f>
        <v>198.2666666666667</v>
      </c>
      <c r="E75" s="46">
        <f>SUM(Calculations!$R$14:$R$16)/12</f>
        <v>198.2666666666667</v>
      </c>
      <c r="F75" s="46">
        <f>SUM(Calculations!$R$14:$R$16)/12</f>
        <v>198.2666666666667</v>
      </c>
      <c r="G75" s="46">
        <f>SUM(Calculations!$R$14:$R$16)/12</f>
        <v>198.2666666666667</v>
      </c>
      <c r="H75" s="46">
        <f>SUM(Calculations!$R$14:$R$16)/12</f>
        <v>198.2666666666667</v>
      </c>
      <c r="I75" s="46">
        <f>SUM(Calculations!$R$14:$R$16)/12</f>
        <v>198.2666666666667</v>
      </c>
      <c r="J75" s="46">
        <f>SUM(Calculations!$R$14:$R$16)/12</f>
        <v>198.2666666666667</v>
      </c>
      <c r="K75" s="46">
        <f>SUM(Calculations!$R$14:$R$16)/12</f>
        <v>198.2666666666667</v>
      </c>
      <c r="L75" s="46">
        <f>SUM(Calculations!$R$14:$R$16)/12</f>
        <v>198.2666666666667</v>
      </c>
      <c r="M75" s="46">
        <f>SUM(Calculations!$R$14:$R$16)/12</f>
        <v>198.2666666666667</v>
      </c>
      <c r="N75" s="46">
        <f>SUM(Calculations!$R$14:$R$16)/12</f>
        <v>198.2666666666667</v>
      </c>
      <c r="O75" s="46">
        <f>SUM(Calculations!$R$14:$R$16)/12</f>
        <v>198.2666666666667</v>
      </c>
      <c r="P75" s="46">
        <f>SUM(Calculations!$R$14:$R$16)/12</f>
        <v>198.2666666666667</v>
      </c>
      <c r="Q75" s="46">
        <f>SUM(Calculations!$R$14:$R$16)/12</f>
        <v>198.2666666666667</v>
      </c>
      <c r="R75" s="46">
        <f>SUM(Calculations!$R$14:$R$16)/12</f>
        <v>198.2666666666667</v>
      </c>
      <c r="S75" s="46">
        <f>SUM(Calculations!$R$14:$R$16)/12</f>
        <v>198.2666666666667</v>
      </c>
      <c r="T75" s="46">
        <f>SUM(Calculations!$R$14:$R$16)/12</f>
        <v>198.2666666666667</v>
      </c>
      <c r="U75" s="46">
        <f>SUM(Calculations!$R$14:$R$16)/12</f>
        <v>198.2666666666667</v>
      </c>
      <c r="V75" s="46">
        <f>SUM(Calculations!$R$14:$R$16)/12</f>
        <v>198.2666666666667</v>
      </c>
      <c r="W75" s="46">
        <f>SUM(Calculations!$R$14:$R$16)/12</f>
        <v>198.2666666666667</v>
      </c>
      <c r="X75" s="46">
        <f>SUM(Calculations!$R$14:$R$16)/12</f>
        <v>198.2666666666667</v>
      </c>
      <c r="Y75" s="46">
        <f>SUM(Calculations!$R$14:$R$16)/12</f>
        <v>198.2666666666667</v>
      </c>
      <c r="Z75" s="46">
        <f>SUMIF($B$13:$Y$13,"Yes",B75:Y75)</f>
        <v>2775.733333333333</v>
      </c>
      <c r="AA75" s="46">
        <f>SUM(B75:M75)</f>
        <v>2379.2</v>
      </c>
      <c r="AB75" s="46">
        <f>SUM(B75:Y75)</f>
        <v>4758.399999999997</v>
      </c>
    </row>
    <row r="76" spans="1:30">
      <c r="A76" s="16" t="s">
        <v>48</v>
      </c>
      <c r="B76" s="46">
        <f>SUM(Calculations!$S$14:$S$16)/12</f>
        <v>395.0657894736842</v>
      </c>
      <c r="C76" s="46">
        <f>SUM(Calculations!$S$14:$S$16)/12</f>
        <v>395.0657894736842</v>
      </c>
      <c r="D76" s="46">
        <f>SUM(Calculations!$S$14:$S$16)/12</f>
        <v>395.0657894736842</v>
      </c>
      <c r="E76" s="46">
        <f>SUM(Calculations!$S$14:$S$16)/12</f>
        <v>395.0657894736842</v>
      </c>
      <c r="F76" s="46">
        <f>SUM(Calculations!$S$14:$S$16)/12</f>
        <v>395.0657894736842</v>
      </c>
      <c r="G76" s="46">
        <f>SUM(Calculations!$S$14:$S$16)/12</f>
        <v>395.0657894736842</v>
      </c>
      <c r="H76" s="46">
        <f>SUM(Calculations!$S$14:$S$16)/12</f>
        <v>395.0657894736842</v>
      </c>
      <c r="I76" s="46">
        <f>SUM(Calculations!$S$14:$S$16)/12</f>
        <v>395.0657894736842</v>
      </c>
      <c r="J76" s="46">
        <f>SUM(Calculations!$S$14:$S$16)/12</f>
        <v>395.0657894736842</v>
      </c>
      <c r="K76" s="46">
        <f>SUM(Calculations!$S$14:$S$16)/12</f>
        <v>395.0657894736842</v>
      </c>
      <c r="L76" s="46">
        <f>SUM(Calculations!$S$14:$S$16)/12</f>
        <v>395.0657894736842</v>
      </c>
      <c r="M76" s="46">
        <f>SUM(Calculations!$S$14:$S$16)/12</f>
        <v>395.0657894736842</v>
      </c>
      <c r="N76" s="46">
        <f>SUM(Calculations!$S$14:$S$16)/12</f>
        <v>395.0657894736842</v>
      </c>
      <c r="O76" s="46">
        <f>SUM(Calculations!$S$14:$S$16)/12</f>
        <v>395.0657894736842</v>
      </c>
      <c r="P76" s="46">
        <f>SUM(Calculations!$S$14:$S$16)/12</f>
        <v>395.0657894736842</v>
      </c>
      <c r="Q76" s="46">
        <f>SUM(Calculations!$S$14:$S$16)/12</f>
        <v>395.0657894736842</v>
      </c>
      <c r="R76" s="46">
        <f>SUM(Calculations!$S$14:$S$16)/12</f>
        <v>395.0657894736842</v>
      </c>
      <c r="S76" s="46">
        <f>SUM(Calculations!$S$14:$S$16)/12</f>
        <v>395.0657894736842</v>
      </c>
      <c r="T76" s="46">
        <f>SUM(Calculations!$S$14:$S$16)/12</f>
        <v>395.0657894736842</v>
      </c>
      <c r="U76" s="46">
        <f>SUM(Calculations!$S$14:$S$16)/12</f>
        <v>395.0657894736842</v>
      </c>
      <c r="V76" s="46">
        <f>SUM(Calculations!$S$14:$S$16)/12</f>
        <v>395.0657894736842</v>
      </c>
      <c r="W76" s="46">
        <f>SUM(Calculations!$S$14:$S$16)/12</f>
        <v>395.0657894736842</v>
      </c>
      <c r="X76" s="46">
        <f>SUM(Calculations!$S$14:$S$16)/12</f>
        <v>395.0657894736842</v>
      </c>
      <c r="Y76" s="46">
        <f>SUM(Calculations!$S$14:$S$16)/12</f>
        <v>395.0657894736842</v>
      </c>
      <c r="Z76" s="46">
        <f>SUMIF($B$13:$Y$13,"Yes",B76:Y76)</f>
        <v>5530.921052631578</v>
      </c>
      <c r="AA76" s="46">
        <f>SUM(B76:M76)</f>
        <v>4740.78947368421</v>
      </c>
      <c r="AB76" s="46">
        <f>SUM(B76:Y76)</f>
        <v>9481.578947368416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35632.34589977908</v>
      </c>
      <c r="C81" s="46">
        <f>(SUM($AA$18:$AA$29)-SUM($AA$36,$AA$42,$AA$48,$AA$54,$AA$60,$AA$66,$AA$72:$AA$79))*Parameters!$B$37/12</f>
        <v>35632.34589977908</v>
      </c>
      <c r="D81" s="46">
        <f>(SUM($AA$18:$AA$29)-SUM($AA$36,$AA$42,$AA$48,$AA$54,$AA$60,$AA$66,$AA$72:$AA$79))*Parameters!$B$37/12</f>
        <v>35632.34589977908</v>
      </c>
      <c r="E81" s="46">
        <f>(SUM($AA$18:$AA$29)-SUM($AA$36,$AA$42,$AA$48,$AA$54,$AA$60,$AA$66,$AA$72:$AA$79))*Parameters!$B$37/12</f>
        <v>35632.34589977908</v>
      </c>
      <c r="F81" s="46">
        <f>(SUM($AA$18:$AA$29)-SUM($AA$36,$AA$42,$AA$48,$AA$54,$AA$60,$AA$66,$AA$72:$AA$79))*Parameters!$B$37/12</f>
        <v>35632.34589977908</v>
      </c>
      <c r="G81" s="46">
        <f>(SUM($AA$18:$AA$29)-SUM($AA$36,$AA$42,$AA$48,$AA$54,$AA$60,$AA$66,$AA$72:$AA$79))*Parameters!$B$37/12</f>
        <v>35632.34589977908</v>
      </c>
      <c r="H81" s="46">
        <f>(SUM($AA$18:$AA$29)-SUM($AA$36,$AA$42,$AA$48,$AA$54,$AA$60,$AA$66,$AA$72:$AA$79))*Parameters!$B$37/12</f>
        <v>35632.34589977908</v>
      </c>
      <c r="I81" s="46">
        <f>(SUM($AA$18:$AA$29)-SUM($AA$36,$AA$42,$AA$48,$AA$54,$AA$60,$AA$66,$AA$72:$AA$79))*Parameters!$B$37/12</f>
        <v>35632.34589977908</v>
      </c>
      <c r="J81" s="46">
        <f>(SUM($AA$18:$AA$29)-SUM($AA$36,$AA$42,$AA$48,$AA$54,$AA$60,$AA$66,$AA$72:$AA$79))*Parameters!$B$37/12</f>
        <v>35632.34589977908</v>
      </c>
      <c r="K81" s="46">
        <f>(SUM($AA$18:$AA$29)-SUM($AA$36,$AA$42,$AA$48,$AA$54,$AA$60,$AA$66,$AA$72:$AA$79))*Parameters!$B$37/12</f>
        <v>35632.34589977908</v>
      </c>
      <c r="L81" s="46">
        <f>(SUM($AA$18:$AA$29)-SUM($AA$36,$AA$42,$AA$48,$AA$54,$AA$60,$AA$66,$AA$72:$AA$79))*Parameters!$B$37/12</f>
        <v>35632.34589977908</v>
      </c>
      <c r="M81" s="46">
        <f>(SUM($AA$18:$AA$29)-SUM($AA$36,$AA$42,$AA$48,$AA$54,$AA$60,$AA$66,$AA$72:$AA$79))*Parameters!$B$37/12</f>
        <v>35632.34589977908</v>
      </c>
      <c r="N81" s="46">
        <f>(SUM($AA$18:$AA$29)-SUM($AA$36,$AA$42,$AA$48,$AA$54,$AA$60,$AA$66,$AA$72:$AA$79))*Parameters!$B$37/12</f>
        <v>35632.34589977908</v>
      </c>
      <c r="O81" s="46">
        <f>(SUM($AA$18:$AA$29)-SUM($AA$36,$AA$42,$AA$48,$AA$54,$AA$60,$AA$66,$AA$72:$AA$79))*Parameters!$B$37/12</f>
        <v>35632.34589977908</v>
      </c>
      <c r="P81" s="46">
        <f>(SUM($AA$18:$AA$29)-SUM($AA$36,$AA$42,$AA$48,$AA$54,$AA$60,$AA$66,$AA$72:$AA$79))*Parameters!$B$37/12</f>
        <v>35632.34589977908</v>
      </c>
      <c r="Q81" s="46">
        <f>(SUM($AA$18:$AA$29)-SUM($AA$36,$AA$42,$AA$48,$AA$54,$AA$60,$AA$66,$AA$72:$AA$79))*Parameters!$B$37/12</f>
        <v>35632.34589977908</v>
      </c>
      <c r="R81" s="46">
        <f>(SUM($AA$18:$AA$29)-SUM($AA$36,$AA$42,$AA$48,$AA$54,$AA$60,$AA$66,$AA$72:$AA$79))*Parameters!$B$37/12</f>
        <v>35632.34589977908</v>
      </c>
      <c r="S81" s="46">
        <f>(SUM($AA$18:$AA$29)-SUM($AA$36,$AA$42,$AA$48,$AA$54,$AA$60,$AA$66,$AA$72:$AA$79))*Parameters!$B$37/12</f>
        <v>35632.34589977908</v>
      </c>
      <c r="T81" s="46">
        <f>(SUM($AA$18:$AA$29)-SUM($AA$36,$AA$42,$AA$48,$AA$54,$AA$60,$AA$66,$AA$72:$AA$79))*Parameters!$B$37/12</f>
        <v>35632.34589977908</v>
      </c>
      <c r="U81" s="46">
        <f>(SUM($AA$18:$AA$29)-SUM($AA$36,$AA$42,$AA$48,$AA$54,$AA$60,$AA$66,$AA$72:$AA$79))*Parameters!$B$37/12</f>
        <v>35632.34589977908</v>
      </c>
      <c r="V81" s="46">
        <f>(SUM($AA$18:$AA$29)-SUM($AA$36,$AA$42,$AA$48,$AA$54,$AA$60,$AA$66,$AA$72:$AA$79))*Parameters!$B$37/12</f>
        <v>35632.34589977908</v>
      </c>
      <c r="W81" s="46">
        <f>(SUM($AA$18:$AA$29)-SUM($AA$36,$AA$42,$AA$48,$AA$54,$AA$60,$AA$66,$AA$72:$AA$79))*Parameters!$B$37/12</f>
        <v>35632.34589977908</v>
      </c>
      <c r="X81" s="46">
        <f>(SUM($AA$18:$AA$29)-SUM($AA$36,$AA$42,$AA$48,$AA$54,$AA$60,$AA$66,$AA$72:$AA$79))*Parameters!$B$37/12</f>
        <v>35632.34589977908</v>
      </c>
      <c r="Y81" s="46">
        <f>(SUM($AA$18:$AA$29)-SUM($AA$36,$AA$42,$AA$48,$AA$54,$AA$60,$AA$66,$AA$72:$AA$79))*Parameters!$B$37/12</f>
        <v>35632.34589977908</v>
      </c>
      <c r="Z81" s="46">
        <f>SUMIF($B$13:$Y$13,"Yes",B81:Y81)</f>
        <v>498852.842596907</v>
      </c>
      <c r="AA81" s="46">
        <f>SUM(B81:M81)</f>
        <v>427588.1507973489</v>
      </c>
      <c r="AB81" s="46">
        <f>SUM(B81:Y81)</f>
        <v>855176.3015946981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46021.30335591943</v>
      </c>
      <c r="C88" s="19">
        <f>SUM(C72:C82,C66,C60,C54,C48,C42,C36)</f>
        <v>80002.05335591943</v>
      </c>
      <c r="D88" s="19">
        <f>SUM(D72:D82,D66,D60,D54,D48,D42,D36)</f>
        <v>80313.05335591943</v>
      </c>
      <c r="E88" s="19">
        <f>SUM(E72:E82,E66,E60,E54,E48,E42,E36)</f>
        <v>81213.05335591943</v>
      </c>
      <c r="F88" s="19">
        <f>SUM(F72:F82,F66,F60,F54,F48,F42,F36)</f>
        <v>79313.05335591943</v>
      </c>
      <c r="G88" s="19">
        <f>SUM(G72:G82,G66,G60,G54,G48,G42,G36)</f>
        <v>55795.48333817206</v>
      </c>
      <c r="H88" s="19">
        <f>SUM(H72:H82,H66,H60,H54,H48,H42,H36)</f>
        <v>46021.30335591943</v>
      </c>
      <c r="I88" s="19">
        <f>SUM(I72:I82,I66,I60,I54,I48,I42,I36)</f>
        <v>80002.05335591943</v>
      </c>
      <c r="J88" s="19">
        <f>SUM(J72:J82,J66,J60,J54,J48,J42,J36)</f>
        <v>80313.05335591943</v>
      </c>
      <c r="K88" s="19">
        <f>SUM(K72:K82,K66,K60,K54,K48,K42,K36)</f>
        <v>81213.05335591943</v>
      </c>
      <c r="L88" s="19">
        <f>SUM(L72:L82,L66,L60,L54,L48,L42,L36)</f>
        <v>79313.05335591943</v>
      </c>
      <c r="M88" s="19">
        <f>SUM(M72:M82,M66,M60,M54,M48,M42,M36)</f>
        <v>55795.48333817206</v>
      </c>
      <c r="N88" s="19">
        <f>SUM(N72:N82,N66,N60,N54,N48,N42,N36)</f>
        <v>46021.30335591943</v>
      </c>
      <c r="O88" s="19">
        <f>SUM(O72:O82,O66,O60,O54,O48,O42,O36)</f>
        <v>80002.05335591943</v>
      </c>
      <c r="P88" s="19">
        <f>SUM(P72:P82,P66,P60,P54,P48,P42,P36)</f>
        <v>80313.05335591943</v>
      </c>
      <c r="Q88" s="19">
        <f>SUM(Q72:Q82,Q66,Q60,Q54,Q48,Q42,Q36)</f>
        <v>81213.05335591943</v>
      </c>
      <c r="R88" s="19">
        <f>SUM(R72:R82,R66,R60,R54,R48,R42,R36)</f>
        <v>79313.05335591943</v>
      </c>
      <c r="S88" s="19">
        <f>SUM(S72:S82,S66,S60,S54,S48,S42,S36)</f>
        <v>55795.48333817206</v>
      </c>
      <c r="T88" s="19">
        <f>SUM(T72:T82,T66,T60,T54,T48,T42,T36)</f>
        <v>46021.30335591943</v>
      </c>
      <c r="U88" s="19">
        <f>SUM(U72:U82,U66,U60,U54,U48,U42,U36)</f>
        <v>80002.05335591943</v>
      </c>
      <c r="V88" s="19">
        <f>SUM(V72:V82,V66,V60,V54,V48,V42,V36)</f>
        <v>80313.05335591943</v>
      </c>
      <c r="W88" s="19">
        <f>SUM(W72:W82,W66,W60,W54,W48,W42,W36)</f>
        <v>81213.05335591943</v>
      </c>
      <c r="X88" s="19">
        <f>SUM(X72:X82,X66,X60,X54,X48,X42,X36)</f>
        <v>79313.05335591943</v>
      </c>
      <c r="Y88" s="19">
        <f>SUM(Y72:Y82,Y66,Y60,Y54,Y48,Y42,Y36)</f>
        <v>55795.48333817206</v>
      </c>
      <c r="Z88" s="19">
        <f>SUMIF($B$13:$Y$13,"Yes",B88:Y88)</f>
        <v>971339.3569473773</v>
      </c>
      <c r="AA88" s="19">
        <f>SUM(B88:M88)</f>
        <v>845316.0002355385</v>
      </c>
      <c r="AB88" s="19">
        <f>SUM(B88:Y88)</f>
        <v>1690632.000471077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141450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19250000</v>
      </c>
    </row>
    <row r="98" spans="1:30">
      <c r="A98" t="s">
        <v>64</v>
      </c>
      <c r="B98" s="36">
        <f>IF(Inputs!B44="Yes",Inputs!B45,0)</f>
        <v>1900000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22631450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96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 t="s">
        <v>97</v>
      </c>
      <c r="B9" s="16"/>
      <c r="C9" s="143">
        <v>2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96</v>
      </c>
      <c r="J9" s="148" t="s">
        <v>98</v>
      </c>
      <c r="K9" s="138"/>
      <c r="L9" s="16"/>
      <c r="M9" s="165">
        <v>0</v>
      </c>
      <c r="N9" s="154">
        <v>0</v>
      </c>
    </row>
    <row r="10" spans="1:48">
      <c r="A10" s="143" t="s">
        <v>99</v>
      </c>
      <c r="B10" s="16"/>
      <c r="C10" s="143">
        <v>3</v>
      </c>
      <c r="D10" s="16"/>
      <c r="E10" s="147" t="s">
        <v>90</v>
      </c>
      <c r="F10" s="149" t="s">
        <v>91</v>
      </c>
      <c r="G10" s="147"/>
      <c r="H10" s="147" t="s">
        <v>92</v>
      </c>
      <c r="I10" s="147" t="s">
        <v>96</v>
      </c>
      <c r="J10" s="148" t="s">
        <v>94</v>
      </c>
      <c r="K10" s="138"/>
      <c r="L10" s="16"/>
      <c r="M10" s="165">
        <v>5</v>
      </c>
      <c r="N10" s="154">
        <v>2</v>
      </c>
    </row>
    <row r="11" spans="1:48">
      <c r="A11" s="144" t="s">
        <v>100</v>
      </c>
      <c r="B11" s="23"/>
      <c r="C11" s="144">
        <v>3</v>
      </c>
      <c r="D11" s="23"/>
      <c r="E11" s="150" t="s">
        <v>90</v>
      </c>
      <c r="F11" s="151" t="s">
        <v>101</v>
      </c>
      <c r="G11" s="150"/>
      <c r="H11" s="150" t="s">
        <v>101</v>
      </c>
      <c r="I11" s="150" t="s">
        <v>102</v>
      </c>
      <c r="J11" s="152" t="s">
        <v>98</v>
      </c>
      <c r="K11" s="119"/>
      <c r="L11" s="23"/>
      <c r="M11" s="167">
        <v>5</v>
      </c>
      <c r="N11" s="155">
        <v>2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104</v>
      </c>
      <c r="B18" s="10" t="s">
        <v>105</v>
      </c>
      <c r="C18" s="10" t="s">
        <v>106</v>
      </c>
      <c r="D18" s="10" t="s">
        <v>107</v>
      </c>
      <c r="E18" s="10" t="s">
        <v>108</v>
      </c>
      <c r="F18" s="10" t="s">
        <v>109</v>
      </c>
      <c r="G18" s="10" t="s">
        <v>110</v>
      </c>
      <c r="H18" s="10" t="s">
        <v>111</v>
      </c>
      <c r="I18" s="10" t="s">
        <v>112</v>
      </c>
      <c r="J18" s="10" t="s">
        <v>113</v>
      </c>
      <c r="K18" s="10" t="s">
        <v>114</v>
      </c>
      <c r="L18" s="10" t="s">
        <v>115</v>
      </c>
    </row>
    <row r="19" spans="1:48">
      <c r="A19" s="142" t="s">
        <v>116</v>
      </c>
      <c r="B19" s="20"/>
      <c r="C19" s="142">
        <v>11</v>
      </c>
      <c r="D19" s="145"/>
      <c r="E19" s="20"/>
      <c r="F19" s="145" t="s">
        <v>92</v>
      </c>
      <c r="G19" s="20"/>
      <c r="H19" s="20"/>
      <c r="I19" s="145" t="s">
        <v>117</v>
      </c>
      <c r="J19" s="145"/>
      <c r="K19" s="145"/>
      <c r="L19" s="25"/>
    </row>
    <row r="20" spans="1:48">
      <c r="A20" s="143" t="s">
        <v>118</v>
      </c>
      <c r="B20" s="16"/>
      <c r="C20" s="143">
        <v>21</v>
      </c>
      <c r="D20" s="147">
        <v>12</v>
      </c>
      <c r="E20" s="16"/>
      <c r="F20" s="147" t="s">
        <v>92</v>
      </c>
      <c r="G20" s="16"/>
      <c r="H20" s="16"/>
      <c r="I20" s="147" t="s">
        <v>119</v>
      </c>
      <c r="J20" s="147">
        <v>5</v>
      </c>
      <c r="K20" s="147">
        <v>5</v>
      </c>
      <c r="L20" s="30">
        <v>1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121</v>
      </c>
      <c r="B25" s="177">
        <v>5</v>
      </c>
    </row>
    <row r="27" spans="1:48">
      <c r="A27" s="14" t="s">
        <v>122</v>
      </c>
    </row>
    <row r="29" spans="1:48">
      <c r="A29" s="45" t="s">
        <v>123</v>
      </c>
      <c r="B29" s="156" t="s">
        <v>124</v>
      </c>
    </row>
    <row r="30" spans="1:48">
      <c r="A30" s="44" t="s">
        <v>125</v>
      </c>
      <c r="B30" s="157">
        <v>13000</v>
      </c>
    </row>
    <row r="31" spans="1:48">
      <c r="A31" s="5" t="s">
        <v>126</v>
      </c>
      <c r="B31" s="158">
        <v>0</v>
      </c>
    </row>
    <row r="33" spans="1:48">
      <c r="A33" s="14" t="s">
        <v>127</v>
      </c>
    </row>
    <row r="34" spans="1:48">
      <c r="A34" s="10" t="s">
        <v>128</v>
      </c>
      <c r="B34" s="10" t="s">
        <v>129</v>
      </c>
      <c r="C34" s="10" t="s">
        <v>130</v>
      </c>
      <c r="D34" s="48" t="s">
        <v>131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133</v>
      </c>
      <c r="B40" s="160" t="s">
        <v>92</v>
      </c>
    </row>
    <row r="41" spans="1:48">
      <c r="A41" s="55" t="s">
        <v>134</v>
      </c>
      <c r="B41" s="140"/>
    </row>
    <row r="42" spans="1:48">
      <c r="A42" s="55" t="s">
        <v>135</v>
      </c>
      <c r="B42" s="139"/>
    </row>
    <row r="43" spans="1:48">
      <c r="A43" s="55" t="s">
        <v>136</v>
      </c>
      <c r="B43" s="160" t="s">
        <v>137</v>
      </c>
    </row>
    <row r="44" spans="1:48">
      <c r="A44" s="56" t="s">
        <v>138</v>
      </c>
      <c r="B44" s="160" t="s">
        <v>92</v>
      </c>
    </row>
    <row r="45" spans="1:48">
      <c r="A45" s="56" t="s">
        <v>139</v>
      </c>
      <c r="B45" s="161">
        <v>1900000</v>
      </c>
    </row>
    <row r="46" spans="1:48" customHeight="1" ht="30">
      <c r="A46" s="57" t="s">
        <v>140</v>
      </c>
      <c r="B46" s="161">
        <v>150000</v>
      </c>
    </row>
    <row r="47" spans="1:48" customHeight="1" ht="30">
      <c r="A47" s="57" t="s">
        <v>141</v>
      </c>
      <c r="B47" s="161">
        <v>150000</v>
      </c>
    </row>
    <row r="48" spans="1:48" customHeight="1" ht="30">
      <c r="A48" s="57" t="s">
        <v>142</v>
      </c>
      <c r="B48" s="161">
        <v>1000000</v>
      </c>
    </row>
    <row r="49" spans="1:48" customHeight="1" ht="30">
      <c r="A49" s="57" t="s">
        <v>143</v>
      </c>
      <c r="B49" s="161">
        <v>40000</v>
      </c>
    </row>
    <row r="50" spans="1:48">
      <c r="A50" s="43"/>
      <c r="B50" s="36"/>
    </row>
    <row r="51" spans="1:48">
      <c r="A51" s="58" t="s">
        <v>144</v>
      </c>
      <c r="B51" s="161">
        <v>2000</v>
      </c>
    </row>
    <row r="52" spans="1:48">
      <c r="A52" s="43"/>
    </row>
    <row r="53" spans="1:48">
      <c r="A53" s="3" t="s">
        <v>145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146</v>
      </c>
      <c r="B55" s="10" t="s">
        <v>147</v>
      </c>
      <c r="C55" s="10" t="s">
        <v>148</v>
      </c>
      <c r="D55" s="10" t="s">
        <v>149</v>
      </c>
      <c r="E55" s="10" t="s">
        <v>150</v>
      </c>
      <c r="F55" s="10" t="s">
        <v>151</v>
      </c>
    </row>
    <row r="56" spans="1:48">
      <c r="A56" s="159">
        <v>4500</v>
      </c>
      <c r="B56" s="159">
        <v>0</v>
      </c>
      <c r="C56" s="162" t="s">
        <v>152</v>
      </c>
      <c r="D56" s="163" t="s">
        <v>153</v>
      </c>
      <c r="E56" s="163" t="s">
        <v>92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131</v>
      </c>
      <c r="B65" s="10" t="s">
        <v>155</v>
      </c>
      <c r="C65" s="10" t="s">
        <v>156</v>
      </c>
    </row>
    <row r="66" spans="1:48">
      <c r="A66" s="142" t="s">
        <v>157</v>
      </c>
      <c r="B66" s="159">
        <v>125800</v>
      </c>
      <c r="C66" s="163">
        <v>112450</v>
      </c>
      <c r="D66" s="49">
        <f>INDEX(Parameters!$D$79:$D$90,MATCH(Inputs!A66,Parameters!$C$79:$C$90,0))</f>
        <v>2</v>
      </c>
    </row>
    <row r="67" spans="1:48">
      <c r="A67" s="143" t="s">
        <v>158</v>
      </c>
      <c r="B67" s="157">
        <v>132500</v>
      </c>
      <c r="C67" s="165">
        <v>123251</v>
      </c>
      <c r="D67" s="49">
        <f>INDEX(Parameters!$D$79:$D$90,MATCH(Inputs!A67,Parameters!$C$79:$C$90,0))</f>
        <v>1</v>
      </c>
    </row>
    <row r="68" spans="1:48">
      <c r="A68" s="143" t="s">
        <v>159</v>
      </c>
      <c r="B68" s="157">
        <v>95842</v>
      </c>
      <c r="C68" s="165">
        <v>98540</v>
      </c>
      <c r="D68" s="49">
        <f>INDEX(Parameters!$D$79:$D$90,MATCH(Inputs!A68,Parameters!$C$79:$C$90,0))</f>
        <v>12</v>
      </c>
    </row>
    <row r="69" spans="1:48">
      <c r="A69" s="143" t="s">
        <v>160</v>
      </c>
      <c r="B69" s="157">
        <v>135225</v>
      </c>
      <c r="C69" s="165">
        <v>115224</v>
      </c>
      <c r="D69" s="49">
        <f>INDEX(Parameters!$D$79:$D$90,MATCH(Inputs!A69,Parameters!$C$79:$C$90,0))</f>
        <v>11</v>
      </c>
    </row>
    <row r="70" spans="1:48">
      <c r="A70" s="143" t="s">
        <v>161</v>
      </c>
      <c r="B70" s="157">
        <v>92452</v>
      </c>
      <c r="C70" s="165">
        <v>85425</v>
      </c>
      <c r="D70" s="49">
        <f>INDEX(Parameters!$D$79:$D$90,MATCH(Inputs!A70,Parameters!$C$79:$C$90,0))</f>
        <v>10</v>
      </c>
    </row>
    <row r="71" spans="1:48">
      <c r="A71" s="144" t="s">
        <v>162</v>
      </c>
      <c r="B71" s="158">
        <v>101452</v>
      </c>
      <c r="C71" s="167">
        <v>85466</v>
      </c>
      <c r="D71" s="49">
        <f>INDEX(Parameters!$D$79:$D$90,MATCH(Inputs!A71,Parameters!$C$79:$C$90,0))</f>
        <v>9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12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169</v>
      </c>
      <c r="B80" s="168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171</v>
      </c>
      <c r="B81" s="161">
        <v>100000</v>
      </c>
    </row>
    <row r="82" spans="1:48">
      <c r="A82" t="s">
        <v>172</v>
      </c>
      <c r="B82" s="161">
        <v>18</v>
      </c>
    </row>
    <row r="83" spans="1:48">
      <c r="A83" t="s">
        <v>173</v>
      </c>
      <c r="B83" s="169" t="s">
        <v>174</v>
      </c>
    </row>
    <row r="84" spans="1:48">
      <c r="A84" t="s">
        <v>175</v>
      </c>
      <c r="B84" s="169">
        <v>1</v>
      </c>
    </row>
    <row r="85" spans="1:48">
      <c r="A85" t="s">
        <v>176</v>
      </c>
      <c r="B85" s="169">
        <v>12</v>
      </c>
    </row>
    <row r="86" spans="1:48">
      <c r="A86" t="s">
        <v>177</v>
      </c>
      <c r="B86" s="161">
        <v>5</v>
      </c>
    </row>
    <row r="87" spans="1:48">
      <c r="A87" t="s">
        <v>178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179</v>
      </c>
      <c r="C3" s="15" t="s">
        <v>180</v>
      </c>
      <c r="D3" s="15" t="s">
        <v>181</v>
      </c>
      <c r="E3" s="15" t="s">
        <v>182</v>
      </c>
      <c r="F3" s="15" t="s">
        <v>183</v>
      </c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5" t="s">
        <v>189</v>
      </c>
      <c r="M3" s="15" t="s">
        <v>190</v>
      </c>
      <c r="N3" s="15" t="s">
        <v>191</v>
      </c>
      <c r="O3" s="15" t="s">
        <v>192</v>
      </c>
      <c r="P3" s="15" t="s">
        <v>193</v>
      </c>
      <c r="Q3" s="32" t="s">
        <v>194</v>
      </c>
      <c r="R3" s="15" t="s">
        <v>195</v>
      </c>
      <c r="S3" s="15" t="s">
        <v>196</v>
      </c>
      <c r="T3" s="15" t="s">
        <v>197</v>
      </c>
      <c r="U3" s="178" t="s">
        <v>87</v>
      </c>
      <c r="V3" s="32" t="s">
        <v>198</v>
      </c>
      <c r="W3" s="32" t="s">
        <v>199</v>
      </c>
      <c r="X3" s="32" t="s">
        <v>200</v>
      </c>
      <c r="Y3" s="32" t="s">
        <v>201</v>
      </c>
      <c r="Z3" s="32" t="s">
        <v>43</v>
      </c>
      <c r="AA3" s="32" t="s">
        <v>202</v>
      </c>
      <c r="AB3" s="32" t="s">
        <v>203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42795</v>
      </c>
      <c r="C4" s="38">
        <f>IFERROR(DATE(YEAR(B4),MONTH(B4)+ROUND(T4/2,0),DAY(B4)),B4)</f>
        <v>42856</v>
      </c>
      <c r="D4" s="38">
        <f>IFERROR(DATE(YEAR(B4),MONTH(B4)+T4,DAY(B4)),"")</f>
        <v>42887</v>
      </c>
      <c r="E4" s="38">
        <f>IFERROR(IF($S4=0,"",IF($S4=2,DATE(YEAR(B4),MONTH(B4)+6,DAY(B4)),IF($S4=1,B4,""))),"")</f>
        <v>42979</v>
      </c>
      <c r="F4" s="38">
        <f>IFERROR(IF($S4=0,"",IF($S4=2,DATE(YEAR(C4),MONTH(C4)+6,DAY(C4)),IF($S4=1,C4,""))),"")</f>
        <v>43040</v>
      </c>
      <c r="G4" s="38">
        <f>IFERROR(IF($S4=0,"",IF($S4=2,DATE(YEAR(D4),MONTH(D4)+6,DAY(D4)),IF($S4=1,D4,""))),"")</f>
        <v>43070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10112.3077419733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707861.541938131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66500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Onions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42795</v>
      </c>
      <c r="C5" s="39">
        <f>IFERROR(DATE(YEAR(B5),MONTH(B5)+ROUND(T5/2,0),DAY(B5)),B5)</f>
        <v>42887</v>
      </c>
      <c r="D5" s="39">
        <f>IFERROR(DATE(YEAR(B5),MONTH(B5)+T5,DAY(B5)),"")</f>
        <v>42948</v>
      </c>
      <c r="E5" s="39">
        <f>IFERROR(IF($S5=0,"",IF($S5=2,DATE(YEAR(B5),MONTH(B5)+6,DAY(B5)),IF($S5=1,B5,""))),"")</f>
        <v>42979</v>
      </c>
      <c r="F5" s="39">
        <f>IFERROR(IF($S5=0,"",IF($S5=2,DATE(YEAR(C5),MONTH(C5)+6,DAY(C5)),IF($S5=1,C5,""))),"")</f>
        <v>43070</v>
      </c>
      <c r="G5" s="39">
        <f>IFERROR(IF($S5=0,"",IF($S5=2,DATE(YEAR(D5),MONTH(D5)+6,DAY(D5)),IF($S5=1,D5,""))),"")</f>
        <v>43132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3479.15654460647</v>
      </c>
      <c r="M5" s="30">
        <f>L5*H5</f>
        <v>3479.15654460647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56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389665.5329959246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2000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14250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42826</v>
      </c>
      <c r="C6" s="39">
        <f>IFERROR(DATE(YEAR(B6),MONTH(B6)+ROUND(T6/2,0),DAY(B6)),B6)</f>
        <v>42887</v>
      </c>
      <c r="D6" s="39">
        <f>IFERROR(DATE(YEAR(B6),MONTH(B6)+T6,DAY(B6)),"")</f>
        <v>42948</v>
      </c>
      <c r="E6" s="39">
        <f>IFERROR(IF($S6=0,"",IF($S6=2,DATE(YEAR(B6),MONTH(B6)+6,DAY(B6)),IF($S6=1,B6,""))),"")</f>
        <v>43009</v>
      </c>
      <c r="F6" s="39">
        <f>IFERROR(IF($S6=0,"",IF($S6=2,DATE(YEAR(C6),MONTH(C6)+6,DAY(C6)),IF($S6=1,C6,""))),"")</f>
        <v>43070</v>
      </c>
      <c r="G6" s="39">
        <f>IFERROR(IF($S6=0,"",IF($S6=2,DATE(YEAR(D6),MONTH(D6)+6,DAY(D6)),IF($S6=1,D6,""))),"")</f>
        <v>43132</v>
      </c>
      <c r="H6" s="16">
        <f>Inputs!C9</f>
        <v>2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596.9340685804706</v>
      </c>
      <c r="M6" s="30">
        <f>L6*H6</f>
        <v>1193.868137160941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58499.53872088611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5000</v>
      </c>
      <c r="W6" s="34">
        <f>IFERROR(J6*H6*Parameters!$B$35+IF(OR(Inputs!F9=Parameters!$E$78,Inputs!F9=Parameters!$E$80),Calculations!H6*Parameters!$B$36,0),0)</f>
        <v>4000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6000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38000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Maize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42795</v>
      </c>
      <c r="C7" s="39">
        <f>IFERROR(DATE(YEAR(B7),MONTH(B7)+ROUND(T7/2,0),DAY(B7)),B7)</f>
        <v>42856</v>
      </c>
      <c r="D7" s="39">
        <f>IFERROR(DATE(YEAR(B7),MONTH(B7)+T7,DAY(B7)),"")</f>
        <v>42917</v>
      </c>
      <c r="E7" s="39">
        <f>IFERROR(IF($S7=0,"",IF($S7=2,DATE(YEAR(B7),MONTH(B7)+6,DAY(B7)),IF($S7=1,B7,""))),"")</f>
        <v>42979</v>
      </c>
      <c r="F7" s="39">
        <f>IFERROR(IF($S7=0,"",IF($S7=2,DATE(YEAR(C7),MONTH(C7)+6,DAY(C7)),IF($S7=1,C7,""))),"")</f>
        <v>43040</v>
      </c>
      <c r="G7" s="39">
        <f>IFERROR(IF($S7=0,"",IF($S7=2,DATE(YEAR(D7),MONTH(D7)+6,DAY(D7)),IF($S7=1,D7,""))),"")</f>
        <v>43101</v>
      </c>
      <c r="H7" s="16">
        <f>Inputs!C10</f>
        <v>3</v>
      </c>
      <c r="I7" s="138" t="str">
        <f>IFERROR(VLOOKUP(Inputs!E10,Parameters!$J$77:$K$81,2,0),"")</f>
        <v>Yes</v>
      </c>
      <c r="J7" s="27">
        <f>IFERROR(Inputs!G10/Calculations!H7,"")</f>
        <v>0</v>
      </c>
      <c r="K7" s="27">
        <f>IFERROR(INDEX(Parameters!$A$3:$V$17,MATCH(Calculations!$A7,Parameters!$A$3:$A$17,0),MATCH(Parameters!$I$3,Parameters!$A$3:$V$3,0)),0)</f>
        <v>150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949.6173861601835</v>
      </c>
      <c r="M7" s="30">
        <f>L7*H7</f>
        <v>2848.85215848055</v>
      </c>
      <c r="N7" s="22">
        <f>Calculations!U7</f>
        <v>0.05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21</v>
      </c>
      <c r="P7" s="22">
        <f>IFERROR(INDEX(Parameters!$A$3:$V$17,MATCH(Calculations!$A7,Parameters!$A$3:$A$17,0),MATCH($P$3,Parameters!$A$3:$V$3,0)),0)</f>
        <v>0.2</v>
      </c>
      <c r="Q7" s="34">
        <f>IFERROR(M7*O7*(1-N7)*MAX(S7,1),0)</f>
        <v>113669.201123374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0.05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909.0000000000002</v>
      </c>
      <c r="W7" s="34">
        <f>IFERROR(J7*H7*Parameters!$B$35+IF(OR(Inputs!F10=Parameters!$E$78,Inputs!F10=Parameters!$E$80),Calculations!H7*Parameters!$B$36,0),0)</f>
        <v>6000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900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3276.179982252633</v>
      </c>
      <c r="AB7" s="34">
        <f>H7*IFERROR(INDEX(Parameters!$A$3:$AI$17,MATCH(Calculations!A7,Parameters!$A$3:$A$17,0),MATCH(Parameters!$O$3,Parameters!$A$3:$AI$3,0)),AVERAGE(Parameters!$O$4:$O$17))*(1-Inputs!$B$25/100)</f>
        <v>34200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42826</v>
      </c>
      <c r="C8" s="40">
        <f>IFERROR(DATE(YEAR(B8),MONTH(B8)+ROUND(T8/2,0),DAY(B8)),B8)</f>
        <v>42826</v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3</v>
      </c>
      <c r="I8" s="119" t="str">
        <f>IFERROR(VLOOKUP(Inputs!E11,Parameters!$J$77:$K$81,2,0),"")</f>
        <v>Yes</v>
      </c>
      <c r="J8" s="28">
        <f>IFERROR(Inputs!G11/Calculations!H8,"")</f>
        <v>0</v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0.05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0.05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104</v>
      </c>
      <c r="B13" s="15" t="s">
        <v>35</v>
      </c>
      <c r="C13" s="15" t="s">
        <v>204</v>
      </c>
      <c r="D13" s="15" t="s">
        <v>205</v>
      </c>
      <c r="E13" s="15" t="s">
        <v>206</v>
      </c>
      <c r="F13" s="15" t="s">
        <v>207</v>
      </c>
      <c r="G13" s="15" t="s">
        <v>208</v>
      </c>
      <c r="H13" s="15" t="s">
        <v>209</v>
      </c>
      <c r="I13" s="15" t="s">
        <v>210</v>
      </c>
      <c r="J13" s="15" t="s">
        <v>211</v>
      </c>
      <c r="K13" s="15" t="s">
        <v>212</v>
      </c>
      <c r="L13" s="15" t="s">
        <v>213</v>
      </c>
      <c r="M13" s="178" t="s">
        <v>214</v>
      </c>
      <c r="N13" s="178" t="s">
        <v>215</v>
      </c>
      <c r="O13" s="62" t="s">
        <v>216</v>
      </c>
      <c r="P13" s="62" t="s">
        <v>217</v>
      </c>
      <c r="Q13" s="62" t="s">
        <v>218</v>
      </c>
      <c r="R13" s="62" t="s">
        <v>219</v>
      </c>
      <c r="S13" s="62" t="s">
        <v>220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11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16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22000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2200</v>
      </c>
      <c r="S14" s="63">
        <f>IFERROR(D14*INDEX(Parameters!$A$22:$P$29,MATCH(Calculations!$A14,Parameters!$A$22:$A$29,0),MATCH(Parameters!$N$22,Parameters!$A$22:$P$22,0)),"")</f>
        <v>3300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21</v>
      </c>
      <c r="E15" s="16">
        <f>Inputs!D20</f>
        <v>12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1.083333333333333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0.4887218045112781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16268.57142857143</v>
      </c>
      <c r="Q15" s="64">
        <f>IFERROR(D15*INDEX(Parameters!$A$22:$P$29,MATCH(Calculations!$A15,Parameters!$A$22:$A$29,0),MATCH(Parameters!$L$22,Parameters!$A$22:$P$22,0))*IF(Inputs!I20="Always",1,IF(Inputs!I20="Sometimes",0.5,0))*365,"")</f>
        <v>3832.5</v>
      </c>
      <c r="R15" s="64">
        <f>IFERROR(D15*INDEX(Parameters!$A$22:$P$29,MATCH(Calculations!$A15,Parameters!$A$22:$A$29,0),MATCH(Parameters!$M$22,Parameters!$A$22:$P$22,0)),"")</f>
        <v>179.2</v>
      </c>
      <c r="S15" s="64">
        <f>IFERROR(D15*INDEX(Parameters!$A$22:$P$29,MATCH(Calculations!$A15,Parameters!$A$22:$A$29,0),MATCH(Parameters!$N$22,Parameters!$A$22:$P$22,0)),"")</f>
        <v>1440.78947368421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21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43282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3412.5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146</v>
      </c>
      <c r="B22" s="74" t="s">
        <v>221</v>
      </c>
      <c r="C22" s="74" t="s">
        <v>222</v>
      </c>
      <c r="D22" s="74" t="s">
        <v>223</v>
      </c>
      <c r="E22" s="74" t="s">
        <v>224</v>
      </c>
    </row>
    <row r="23" spans="1:52">
      <c r="A23" s="75">
        <f>Inputs!A56</f>
        <v>4500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226</v>
      </c>
      <c r="B32" s="129" t="s">
        <v>227</v>
      </c>
      <c r="C32" s="129" t="s">
        <v>228</v>
      </c>
      <c r="D32" s="129" t="s">
        <v>229</v>
      </c>
      <c r="F32" s="132" t="s">
        <v>230</v>
      </c>
      <c r="G32" s="132" t="s">
        <v>231</v>
      </c>
      <c r="I32" s="174" t="s">
        <v>232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42828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42826</v>
      </c>
      <c r="F33" t="s">
        <v>168</v>
      </c>
      <c r="G33" s="128">
        <f>IF(Inputs!B79="","",DATE(YEAR(Inputs!B79),MONTH(Inputs!B79),DAY(Inputs!B79)))</f>
        <v>42793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42858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42856</v>
      </c>
      <c r="F34" t="s">
        <v>169</v>
      </c>
      <c r="G34" s="128">
        <f>IF(Inputs!B80="","",DATE(YEAR(Inputs!B80),MONTH(Inputs!B80),DAY(Inputs!B80)))</f>
        <v>42828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42889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42887</v>
      </c>
      <c r="F35" t="s">
        <v>171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42919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42917</v>
      </c>
      <c r="F36" t="s">
        <v>172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42950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42948</v>
      </c>
      <c r="F37" t="s">
        <v>233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42981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42979</v>
      </c>
      <c r="F38" t="s">
        <v>234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43011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43009</v>
      </c>
      <c r="F39" t="s">
        <v>177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43042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43040</v>
      </c>
      <c r="F40" t="s">
        <v>178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43072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43070</v>
      </c>
      <c r="F41" t="s">
        <v>235</v>
      </c>
      <c r="G41" s="73">
        <f>IFERROR(G35/(G38-G39),"")</f>
        <v>14285.71428571429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43103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43101</v>
      </c>
      <c r="F42" t="s">
        <v>236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43134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43162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43160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237</v>
      </c>
      <c r="C3" s="10" t="s">
        <v>238</v>
      </c>
      <c r="D3" s="10" t="s">
        <v>239</v>
      </c>
      <c r="E3" s="10" t="s">
        <v>240</v>
      </c>
      <c r="F3" s="10" t="s">
        <v>241</v>
      </c>
      <c r="G3" s="10" t="s">
        <v>242</v>
      </c>
      <c r="H3" s="10" t="s">
        <v>243</v>
      </c>
      <c r="I3" s="10" t="s">
        <v>244</v>
      </c>
      <c r="J3" s="10" t="s">
        <v>245</v>
      </c>
      <c r="K3" s="10" t="s">
        <v>246</v>
      </c>
      <c r="L3" s="10" t="s">
        <v>247</v>
      </c>
      <c r="M3" s="10" t="s">
        <v>248</v>
      </c>
      <c r="N3" s="10" t="s">
        <v>249</v>
      </c>
      <c r="O3" s="10" t="s">
        <v>250</v>
      </c>
      <c r="P3" s="10" t="s">
        <v>251</v>
      </c>
      <c r="Q3" s="10" t="s">
        <v>252</v>
      </c>
      <c r="R3" s="10" t="s">
        <v>253</v>
      </c>
      <c r="S3" s="10" t="s">
        <v>254</v>
      </c>
      <c r="T3" s="10" t="s">
        <v>255</v>
      </c>
      <c r="U3" s="10" t="s">
        <v>195</v>
      </c>
      <c r="V3" s="10" t="s">
        <v>193</v>
      </c>
      <c r="W3" s="10" t="s">
        <v>256</v>
      </c>
      <c r="X3" s="10" t="s">
        <v>257</v>
      </c>
      <c r="Y3" s="10" t="s">
        <v>258</v>
      </c>
      <c r="Z3" s="10" t="s">
        <v>259</v>
      </c>
      <c r="AA3" s="10" t="s">
        <v>260</v>
      </c>
      <c r="AB3" s="10" t="s">
        <v>261</v>
      </c>
      <c r="AC3" s="10" t="s">
        <v>262</v>
      </c>
      <c r="AD3" s="10" t="s">
        <v>263</v>
      </c>
      <c r="AE3" s="10" t="s">
        <v>264</v>
      </c>
      <c r="AF3" s="10" t="s">
        <v>265</v>
      </c>
      <c r="AG3" s="10" t="s">
        <v>266</v>
      </c>
      <c r="AH3" s="10" t="s">
        <v>267</v>
      </c>
      <c r="AI3" s="10" t="s">
        <v>268</v>
      </c>
    </row>
    <row r="4" spans="1:36" s="93" customFormat="1">
      <c r="A4" s="93" t="s">
        <v>269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100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104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209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118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116</v>
      </c>
      <c r="B27" s="71" t="s">
        <v>300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104</v>
      </c>
      <c r="B41" s="191" t="s">
        <v>101</v>
      </c>
      <c r="C41" s="191" t="s">
        <v>92</v>
      </c>
    </row>
    <row r="42" spans="1:36">
      <c r="A42" t="s">
        <v>118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116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99</v>
      </c>
      <c r="E52" s="12" t="s">
        <v>99</v>
      </c>
      <c r="F52" s="12" t="s">
        <v>99</v>
      </c>
      <c r="G52" s="12" t="s">
        <v>317</v>
      </c>
      <c r="H52" s="12" t="s">
        <v>318</v>
      </c>
      <c r="I52" s="12" t="s">
        <v>137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237</v>
      </c>
      <c r="E53" s="10" t="s">
        <v>196</v>
      </c>
      <c r="F53" s="10" t="s">
        <v>256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101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101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101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101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101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101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101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174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233</v>
      </c>
      <c r="J76" s="11" t="s">
        <v>351</v>
      </c>
      <c r="K76" s="11" t="s">
        <v>186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101</v>
      </c>
      <c r="F77" s="12" t="s">
        <v>101</v>
      </c>
      <c r="G77" s="12" t="s">
        <v>117</v>
      </c>
      <c r="H77" s="12" t="s">
        <v>318</v>
      </c>
      <c r="I77" s="12" t="s">
        <v>353</v>
      </c>
      <c r="J77" s="136" t="s">
        <v>354</v>
      </c>
      <c r="K77" s="12" t="s">
        <v>101</v>
      </c>
      <c r="AJ77" s="12"/>
    </row>
    <row r="78" spans="1:36">
      <c r="A78" t="s">
        <v>101</v>
      </c>
      <c r="B78" s="176">
        <v>5</v>
      </c>
      <c r="C78" s="134" t="s">
        <v>355</v>
      </c>
      <c r="D78" s="133"/>
      <c r="E78" s="12" t="s">
        <v>356</v>
      </c>
      <c r="F78" s="12" t="s">
        <v>93</v>
      </c>
      <c r="G78" s="12" t="s">
        <v>119</v>
      </c>
      <c r="H78" s="12" t="s">
        <v>137</v>
      </c>
      <c r="I78" s="12" t="s">
        <v>357</v>
      </c>
      <c r="J78" s="70" t="s">
        <v>358</v>
      </c>
      <c r="K78" s="12" t="s">
        <v>101</v>
      </c>
      <c r="AJ78" s="12"/>
    </row>
    <row r="79" spans="1:36">
      <c r="B79" s="176">
        <v>10</v>
      </c>
      <c r="C79" s="12" t="s">
        <v>158</v>
      </c>
      <c r="D79" s="12">
        <v>1</v>
      </c>
      <c r="E79" s="12" t="s">
        <v>359</v>
      </c>
      <c r="F79" s="12" t="s">
        <v>102</v>
      </c>
      <c r="G79" s="12" t="s">
        <v>360</v>
      </c>
      <c r="I79" s="12" t="s">
        <v>174</v>
      </c>
      <c r="J79" s="70" t="s">
        <v>361</v>
      </c>
      <c r="K79" s="12" t="s">
        <v>101</v>
      </c>
      <c r="AJ79" s="12"/>
    </row>
    <row r="80" spans="1:36">
      <c r="B80" s="176">
        <v>20</v>
      </c>
      <c r="C80" s="12" t="s">
        <v>157</v>
      </c>
      <c r="D80" s="12">
        <f>D79+1</f>
        <v>2</v>
      </c>
      <c r="E80" s="12" t="s">
        <v>91</v>
      </c>
      <c r="F80" s="12" t="s">
        <v>96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98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366</v>
      </c>
      <c r="D86" s="12">
        <f>D85+1</f>
        <v>8</v>
      </c>
    </row>
    <row r="87" spans="1:36">
      <c r="B87" s="176">
        <v>89.99999999999999</v>
      </c>
      <c r="C87" s="12" t="s">
        <v>162</v>
      </c>
      <c r="D87" s="12">
        <f>D86+1</f>
        <v>9</v>
      </c>
    </row>
    <row r="88" spans="1:36">
      <c r="B88" s="176">
        <v>99.99999999999999</v>
      </c>
      <c r="C88" s="12" t="s">
        <v>161</v>
      </c>
      <c r="D88" s="12">
        <f>D87+1</f>
        <v>10</v>
      </c>
    </row>
    <row r="89" spans="1:36">
      <c r="C89" s="12" t="s">
        <v>160</v>
      </c>
      <c r="D89" s="12">
        <f>D88+1</f>
        <v>11</v>
      </c>
    </row>
    <row r="90" spans="1:36">
      <c r="C90" s="12" t="s">
        <v>159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