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<sst xmlns="http://schemas.openxmlformats.org/spreadsheetml/2006/main" uniqueCount="371">
  <si>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</si>
  <si>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</si>
  <si>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</si>
  <si>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</si>
  <si>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</si>
  <si>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</si>
  <si>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</si>
  <si>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</si>
  <si>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</si>
  <si>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</si>
  <si>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</si>
  <si>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</si>
  <si>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</si>
  <si>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</si>
  <si>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</si>
  <si>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</si>
  <si>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</si>
  <si>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</si>
  <si>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</si>
  <si>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</si>
  <si>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</si>
  <si>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</si>
  <si>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</si>
  <si>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</si>
  <si>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</si>
  <si>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</si>
  <si>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</si>
  <si>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</si>
  <si>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</si>
  <si>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</si>
  <si>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</si>
  <si>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</si>
  <si>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</si>
  <si>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</si>
  <si>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</si>
  <si>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</si>
  <si>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</si>
  <si>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</si>
  <si>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</si>
  <si>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</si>
  <si>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</si>
  <si>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</si>
  <si>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</si>
  <si>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</si>
  <si>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</si>
  <si>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</si>
  <si>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</si>
  <si>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</si>
  <si>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</si>
  <si>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</si>
  <si>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</si>
  <si>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</si>
  <si>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</si>
  <si>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</si>
  <si>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</si>
  <si>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</si>
  <si>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</si>
  <si>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</si>
  <si>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</si>
  <si>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</si>
  <si>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</si>
  <si>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</si>
  <si>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</si>
  <si>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</si>
  <si>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</si>
  <si>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</si>
  <si>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</si>
  <si>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</si>
  <si>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</si>
  <si>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</si>
  <si>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</si>
  <si>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</si>
  <si>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</si>
  <si>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</si>
  <si>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</si>
  <si>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</si>
  <si>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</si>
  <si>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</si>
  <si>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</si>
  <si>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</si>
  <si>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</si>
  <si>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</si>
  <si>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</si>
  <si>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</si>
  <si>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</si>
  <si>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</si>
  <si>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</si>
  <si>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</si>
  <si>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</si>
  <si>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</si>
  <si>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</si>
  <si>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</si>
  <si>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</si>
  <si>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</si>
  <si>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</si>
  <si>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</si>
  <si>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</si>
  <si>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</si>
  <si>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</si>
  <si>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</si>
  <si>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</si>
  <si>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</si>
  <si>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</si>
  <si>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</si>
  <si>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</si>
  <si>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Chicken_broilers</t>
  </si>
  <si>
    <t>No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</si>
  <si>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</si>
  <si>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</si>
  <si>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</si>
  <si>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</si>
  <si>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</si>
  <si>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counselling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</si>
  <si>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</si>
  <si>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</si>
  <si>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</si>
  <si>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</si>
  <si>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</si>
  <si>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</si>
  <si>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</si>
  <si>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</si>
  <si>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</si>
  <si>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</si>
  <si>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</si>
  <si>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</si>
  <si>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</si>
  <si>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</si>
  <si>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</si>
  <si>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</si>
  <si>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</si>
  <si>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</si>
  <si>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</si>
  <si>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</si>
  <si>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</si>
  <si>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</si>
  <si>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</si>
  <si>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</si>
  <si>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</si>
  <si>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</si>
  <si>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</si>
  <si>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9/11/2016</t>
  </si>
  <si>
    <t>Musoni</t>
  </si>
  <si>
    <t>Had sent with wrong codes</t>
  </si>
  <si>
    <t>2/6/2017</t>
  </si>
  <si>
    <t>Mshwari</t>
  </si>
  <si>
    <t>Timely repayment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</si>
  <si>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</si>
  <si>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</si>
  <si>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</si>
  <si>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</si>
  <si>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</si>
  <si>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</si>
  <si>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</si>
  <si>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</si>
  <si>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</si>
  <si>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</si>
  <si>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</si>
  <si>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</si>
  <si>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2017/2/28</t>
  </si>
  <si>
    <t>Loan terms</t>
  </si>
  <si>
    <t>Expected disbursement date</t>
  </si>
  <si>
    <t>Expected first repayment date</t>
  </si>
  <si>
    <t>2017/3/28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</si>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</sst>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Chicken_broilers, Cows_dairy, Chicken: sale of ex layers</v>
      </c>
    </row>
    <row r="8" spans="1:7">
      <c r="B8" s="1" t="s">
        <v>4</v>
      </c>
      <c r="C8" t="str">
        <f>IF(Inputs!B29="","None",Inputs!B29)</f>
        <v>counselling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0.155891488878051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0.08949438202247191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20289.47368421053</v>
      </c>
    </row>
    <row r="17" spans="1:7">
      <c r="B17" s="1" t="s">
        <v>11</v>
      </c>
      <c r="C17" s="36">
        <f>SUM(Output!B6:M6)</f>
        <v>1049776.920892657</v>
      </c>
    </row>
    <row r="18" spans="1:7">
      <c r="B18" s="1" t="s">
        <v>12</v>
      </c>
      <c r="C18" s="36">
        <f>MIN(Output!B6:M6)</f>
        <v>87481.41007438808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2017</v>
      </c>
    </row>
    <row r="20" spans="1:7">
      <c r="B20" s="1" t="s">
        <v>14</v>
      </c>
      <c r="C20" s="36">
        <f>MAX(Output!B6:M6)</f>
        <v>87481.41007438808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104000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42767</v>
      </c>
      <c r="C5" s="17">
        <f>DATE(YEAR(B5),MONTH(B5)+1,DAY(B5))</f>
        <v>42795</v>
      </c>
      <c r="D5" s="17">
        <f>DATE(YEAR(C5),MONTH(C5)+1,DAY(C5))</f>
        <v>42826</v>
      </c>
      <c r="E5" s="17">
        <f>DATE(YEAR(D5),MONTH(D5)+1,DAY(D5))</f>
        <v>42856</v>
      </c>
      <c r="F5" s="17">
        <f>DATE(YEAR(E5),MONTH(E5)+1,DAY(E5))</f>
        <v>42887</v>
      </c>
      <c r="G5" s="17">
        <f>DATE(YEAR(F5),MONTH(F5)+1,DAY(F5))</f>
        <v>42917</v>
      </c>
      <c r="H5" s="17">
        <f>DATE(YEAR(G5),MONTH(G5)+1,DAY(G5))</f>
        <v>42948</v>
      </c>
      <c r="I5" s="17">
        <f>DATE(YEAR(H5),MONTH(H5)+1,DAY(H5))</f>
        <v>42979</v>
      </c>
      <c r="J5" s="17">
        <f>DATE(YEAR(I5),MONTH(I5)+1,DAY(I5))</f>
        <v>43009</v>
      </c>
      <c r="K5" s="17">
        <f>DATE(YEAR(J5),MONTH(J5)+1,DAY(J5))</f>
        <v>43040</v>
      </c>
      <c r="L5" s="17">
        <f>DATE(YEAR(K5),MONTH(K5)+1,DAY(K5))</f>
        <v>43070</v>
      </c>
      <c r="M5" s="17">
        <f>DATE(YEAR(L5),MONTH(L5)+1,DAY(L5))</f>
        <v>43101</v>
      </c>
      <c r="N5" s="17">
        <f>DATE(YEAR(M5),MONTH(M5)+1,DAY(M5))</f>
        <v>43132</v>
      </c>
      <c r="O5" s="17">
        <f>DATE(YEAR(N5),MONTH(N5)+1,DAY(N5))</f>
        <v>43160</v>
      </c>
      <c r="P5" s="17">
        <f>DATE(YEAR(O5),MONTH(O5)+1,DAY(O5))</f>
        <v>43191</v>
      </c>
      <c r="Q5" s="17">
        <f>DATE(YEAR(P5),MONTH(P5)+1,DAY(P5))</f>
        <v>43221</v>
      </c>
      <c r="R5" s="17">
        <f>DATE(YEAR(Q5),MONTH(Q5)+1,DAY(Q5))</f>
        <v>43252</v>
      </c>
      <c r="S5" s="17">
        <f>DATE(YEAR(R5),MONTH(R5)+1,DAY(R5))</f>
        <v>43282</v>
      </c>
      <c r="T5" s="17">
        <f>DATE(YEAR(S5),MONTH(S5)+1,DAY(S5))</f>
        <v>43313</v>
      </c>
      <c r="U5" s="17">
        <f>DATE(YEAR(T5),MONTH(T5)+1,DAY(T5))</f>
        <v>43344</v>
      </c>
      <c r="V5" s="17">
        <f>DATE(YEAR(U5),MONTH(U5)+1,DAY(U5))</f>
        <v>43374</v>
      </c>
      <c r="W5" s="17">
        <f>DATE(YEAR(V5),MONTH(V5)+1,DAY(V5))</f>
        <v>43405</v>
      </c>
      <c r="X5" s="17">
        <f>DATE(YEAR(W5),MONTH(W5)+1,DAY(W5))</f>
        <v>43435</v>
      </c>
      <c r="Y5" s="17">
        <f>DATE(YEAR(X5),MONTH(X5)+1,DAY(X5))</f>
        <v>43466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43497</v>
      </c>
    </row>
    <row r="6" spans="1:30" customHeight="1" ht="15.75">
      <c r="A6" s="50" t="s">
        <v>27</v>
      </c>
      <c r="B6" s="51">
        <f>B30-B88</f>
        <v>87481.41007438808</v>
      </c>
      <c r="C6" s="51">
        <f>C30-C88</f>
        <v>87481.41007438808</v>
      </c>
      <c r="D6" s="51">
        <f>D30-D88</f>
        <v>87481.41007438808</v>
      </c>
      <c r="E6" s="51">
        <f>E30-E88</f>
        <v>87481.41007438808</v>
      </c>
      <c r="F6" s="51">
        <f>F30-F88</f>
        <v>87481.41007438808</v>
      </c>
      <c r="G6" s="51">
        <f>G30-G88</f>
        <v>87481.41007438808</v>
      </c>
      <c r="H6" s="51">
        <f>H30-H88</f>
        <v>87481.41007438808</v>
      </c>
      <c r="I6" s="51">
        <f>I30-I88</f>
        <v>87481.41007438808</v>
      </c>
      <c r="J6" s="51">
        <f>J30-J88</f>
        <v>87481.41007438808</v>
      </c>
      <c r="K6" s="51">
        <f>K30-K88</f>
        <v>87481.41007438808</v>
      </c>
      <c r="L6" s="51">
        <f>L30-L88</f>
        <v>87481.41007438808</v>
      </c>
      <c r="M6" s="51">
        <f>M30-M88</f>
        <v>87481.41007438808</v>
      </c>
      <c r="N6" s="51">
        <f>N30-N88</f>
        <v>87481.41007438808</v>
      </c>
      <c r="O6" s="51">
        <f>O30-O88</f>
        <v>87481.41007438808</v>
      </c>
      <c r="P6" s="51">
        <f>P30-P88</f>
        <v>87481.41007438808</v>
      </c>
      <c r="Q6" s="51">
        <f>Q30-Q88</f>
        <v>87481.41007438808</v>
      </c>
      <c r="R6" s="51">
        <f>R30-R88</f>
        <v>87481.41007438808</v>
      </c>
      <c r="S6" s="51">
        <f>S30-S88</f>
        <v>174981.4100743881</v>
      </c>
      <c r="T6" s="51">
        <f>T30-T88</f>
        <v>87481.41007438808</v>
      </c>
      <c r="U6" s="51">
        <f>U30-U88</f>
        <v>87481.41007438808</v>
      </c>
      <c r="V6" s="51">
        <f>V30-V88</f>
        <v>87481.41007438808</v>
      </c>
      <c r="W6" s="51">
        <f>W30-W88</f>
        <v>87481.41007438808</v>
      </c>
      <c r="X6" s="51">
        <f>X30-X88</f>
        <v>87481.41007438808</v>
      </c>
      <c r="Y6" s="51">
        <f>Y30-Y88</f>
        <v>87481.41007438808</v>
      </c>
      <c r="Z6" s="51">
        <f>SUMIF($B$13:$Y$13,"Yes",B6:Y6)</f>
        <v>2187053.841785315</v>
      </c>
      <c r="AA6" s="51">
        <f>AA30-AA88</f>
        <v>1049776.920892657</v>
      </c>
      <c r="AB6" s="51">
        <f>AB30-AB88</f>
        <v>2187053.841785315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96900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76500</v>
      </c>
      <c r="J7" s="80">
        <f>IF(ISERROR(VLOOKUP(MONTH(J5),Inputs!$D$66:$D$71,1,0)),"",INDEX(Inputs!$B$66:$B$71,MATCH(MONTH(Output!J5),Inputs!$D$66:$D$71,0))-INDEX(Inputs!$C$66:$C$71,MATCH(MONTH(Output!J5),Inputs!$D$66:$D$71,0)))</f>
        <v>57200</v>
      </c>
      <c r="K7" s="80">
        <f>IF(ISERROR(VLOOKUP(MONTH(K5),Inputs!$D$66:$D$71,1,0)),"",INDEX(Inputs!$B$66:$B$71,MATCH(MONTH(Output!K5),Inputs!$D$66:$D$71,0))-INDEX(Inputs!$C$66:$C$71,MATCH(MONTH(Output!K5),Inputs!$D$66:$D$71,0)))</f>
        <v>56100</v>
      </c>
      <c r="L7" s="80">
        <f>IF(ISERROR(VLOOKUP(MONTH(L5),Inputs!$D$66:$D$71,1,0)),"",INDEX(Inputs!$B$66:$B$71,MATCH(MONTH(Output!L5),Inputs!$D$66:$D$71,0))-INDEX(Inputs!$C$66:$C$71,MATCH(MONTH(Output!L5),Inputs!$D$66:$D$71,0)))</f>
        <v>74900</v>
      </c>
      <c r="M7" s="80">
        <f>IF(ISERROR(VLOOKUP(MONTH(M5),Inputs!$D$66:$D$71,1,0)),"",INDEX(Inputs!$B$66:$B$71,MATCH(MONTH(Output!M5),Inputs!$D$66:$D$71,0))-INDEX(Inputs!$C$66:$C$71,MATCH(MONTH(Output!M5),Inputs!$D$66:$D$71,0)))</f>
        <v>27200</v>
      </c>
      <c r="N7" s="80">
        <f>IF(ISERROR(VLOOKUP(MONTH(N5),Inputs!$D$66:$D$71,1,0)),"",INDEX(Inputs!$B$66:$B$71,MATCH(MONTH(Output!N5),Inputs!$D$66:$D$71,0))-INDEX(Inputs!$C$66:$C$71,MATCH(MONTH(Output!N5),Inputs!$D$66:$D$71,0)))</f>
        <v>96900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76500</v>
      </c>
      <c r="V7" s="80">
        <f>IF(ISERROR(VLOOKUP(MONTH(V5),Inputs!$D$66:$D$71,1,0)),"",INDEX(Inputs!$B$66:$B$71,MATCH(MONTH(Output!V5),Inputs!$D$66:$D$71,0))-INDEX(Inputs!$C$66:$C$71,MATCH(MONTH(Output!V5),Inputs!$D$66:$D$71,0)))</f>
        <v>57200</v>
      </c>
      <c r="W7" s="80">
        <f>IF(ISERROR(VLOOKUP(MONTH(W5),Inputs!$D$66:$D$71,1,0)),"",INDEX(Inputs!$B$66:$B$71,MATCH(MONTH(Output!W5),Inputs!$D$66:$D$71,0))-INDEX(Inputs!$C$66:$C$71,MATCH(MONTH(Output!W5),Inputs!$D$66:$D$71,0)))</f>
        <v>56100</v>
      </c>
      <c r="X7" s="80">
        <f>IF(ISERROR(VLOOKUP(MONTH(X5),Inputs!$D$66:$D$71,1,0)),"",INDEX(Inputs!$B$66:$B$71,MATCH(MONTH(Output!X5),Inputs!$D$66:$D$71,0))-INDEX(Inputs!$C$66:$C$71,MATCH(MONTH(Output!X5),Inputs!$D$66:$D$71,0)))</f>
        <v>74900</v>
      </c>
      <c r="Y7" s="80">
        <f>IF(ISERROR(VLOOKUP(MONTH(Y5),Inputs!$D$66:$D$71,1,0)),"",INDEX(Inputs!$B$66:$B$71,MATCH(MONTH(Output!Y5),Inputs!$D$66:$D$71,0))-INDEX(Inputs!$C$66:$C$71,MATCH(MONTH(Output!Y5),Inputs!$D$66:$D$71,0)))</f>
        <v>27200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4500</v>
      </c>
      <c r="D10" s="37">
        <f>SUMPRODUCT((Calculations!$D$33:$D$84=Output!D5)+0,Calculations!$C$33:$C$84)</f>
        <v>4500</v>
      </c>
      <c r="E10" s="37">
        <f>SUMPRODUCT((Calculations!$D$33:$D$84=Output!E5)+0,Calculations!$C$33:$C$84)</f>
        <v>4500</v>
      </c>
      <c r="F10" s="37">
        <f>SUMPRODUCT((Calculations!$D$33:$D$84=Output!F5)+0,Calculations!$C$33:$C$84)</f>
        <v>4500</v>
      </c>
      <c r="G10" s="37">
        <f>SUMPRODUCT((Calculations!$D$33:$D$84=Output!G5)+0,Calculations!$C$33:$C$84)</f>
        <v>4500</v>
      </c>
      <c r="H10" s="37">
        <f>SUMPRODUCT((Calculations!$D$33:$D$84=Output!H5)+0,Calculations!$C$33:$C$84)</f>
        <v>20289.47368421053</v>
      </c>
      <c r="I10" s="37">
        <f>SUMPRODUCT((Calculations!$D$33:$D$84=Output!I5)+0,Calculations!$C$33:$C$84)</f>
        <v>20289.47368421053</v>
      </c>
      <c r="J10" s="37">
        <f>SUMPRODUCT((Calculations!$D$33:$D$84=Output!J5)+0,Calculations!$C$33:$C$84)</f>
        <v>20289.47368421053</v>
      </c>
      <c r="K10" s="37">
        <f>SUMPRODUCT((Calculations!$D$33:$D$84=Output!K5)+0,Calculations!$C$33:$C$84)</f>
        <v>20289.47368421053</v>
      </c>
      <c r="L10" s="37">
        <f>SUMPRODUCT((Calculations!$D$33:$D$84=Output!L5)+0,Calculations!$C$33:$C$84)</f>
        <v>20289.47368421053</v>
      </c>
      <c r="M10" s="37">
        <f>SUMPRODUCT((Calculations!$D$33:$D$84=Output!M5)+0,Calculations!$C$33:$C$84)</f>
        <v>20289.47368421053</v>
      </c>
      <c r="N10" s="37">
        <f>SUMPRODUCT((Calculations!$D$33:$D$84=Output!N5)+0,Calculations!$C$33:$C$84)</f>
        <v>20289.47368421053</v>
      </c>
      <c r="O10" s="37">
        <f>SUMPRODUCT((Calculations!$D$33:$D$84=Output!O5)+0,Calculations!$C$33:$C$84)</f>
        <v>20289.47368421053</v>
      </c>
      <c r="P10" s="37">
        <f>SUMPRODUCT((Calculations!$D$33:$D$84=Output!P5)+0,Calculations!$C$33:$C$84)</f>
        <v>20289.47368421053</v>
      </c>
      <c r="Q10" s="37">
        <f>SUMPRODUCT((Calculations!$D$33:$D$84=Output!Q5)+0,Calculations!$C$33:$C$84)</f>
        <v>20289.47368421053</v>
      </c>
      <c r="R10" s="37">
        <f>SUMPRODUCT((Calculations!$D$33:$D$84=Output!R5)+0,Calculations!$C$33:$C$84)</f>
        <v>20289.47368421053</v>
      </c>
      <c r="S10" s="37">
        <f>SUMPRODUCT((Calculations!$D$33:$D$84=Output!S5)+0,Calculations!$C$33:$C$84)</f>
        <v>20289.47368421053</v>
      </c>
      <c r="T10" s="37">
        <f>SUMPRODUCT((Calculations!$D$33:$D$84=Output!T5)+0,Calculations!$C$33:$C$84)</f>
        <v>20289.47368421053</v>
      </c>
      <c r="U10" s="37">
        <f>SUMPRODUCT((Calculations!$D$33:$D$84=Output!U5)+0,Calculations!$C$33:$C$84)</f>
        <v>20289.47368421053</v>
      </c>
      <c r="V10" s="37">
        <f>SUMPRODUCT((Calculations!$D$33:$D$84=Output!V5)+0,Calculations!$C$33:$C$84)</f>
        <v>20289.47368421053</v>
      </c>
      <c r="W10" s="37">
        <f>SUMPRODUCT((Calculations!$D$33:$D$84=Output!W5)+0,Calculations!$C$33:$C$84)</f>
        <v>20289.47368421053</v>
      </c>
      <c r="X10" s="37">
        <f>SUMPRODUCT((Calculations!$D$33:$D$84=Output!X5)+0,Calculations!$C$33:$C$84)</f>
        <v>20289.47368421053</v>
      </c>
      <c r="Y10" s="37">
        <f>SUMPRODUCT((Calculations!$D$33:$D$84=Output!Y5)+0,Calculations!$C$33:$C$84)</f>
        <v>20289.47368421053</v>
      </c>
      <c r="Z10" s="37">
        <f>SUMIF($B$13:$Y$13,"Yes",B10:Y10)</f>
        <v>387710.5263157894</v>
      </c>
      <c r="AA10" s="37">
        <f>SUM(B10:M10)</f>
        <v>144236.8421052632</v>
      </c>
      <c r="AB10" s="37">
        <f>SUM(B10:Y10)</f>
        <v>387710.5263157894</v>
      </c>
    </row>
    <row r="11" spans="1:30" customHeight="1" ht="15.75">
      <c r="A11" s="43" t="s">
        <v>31</v>
      </c>
      <c r="B11" s="80">
        <f>B6+B9-B10</f>
        <v>387481.4100743881</v>
      </c>
      <c r="C11" s="80">
        <f>C6+C9-C10</f>
        <v>82981.41007438808</v>
      </c>
      <c r="D11" s="80">
        <f>D6+D9-D10</f>
        <v>82981.41007438808</v>
      </c>
      <c r="E11" s="80">
        <f>E6+E9-E10</f>
        <v>82981.41007438808</v>
      </c>
      <c r="F11" s="80">
        <f>F6+F9-F10</f>
        <v>82981.41007438808</v>
      </c>
      <c r="G11" s="80">
        <f>G6+G9-G10</f>
        <v>82981.41007438808</v>
      </c>
      <c r="H11" s="80">
        <f>H6+H9-H10</f>
        <v>67191.93639017755</v>
      </c>
      <c r="I11" s="80">
        <f>I6+I9-I10</f>
        <v>67191.93639017755</v>
      </c>
      <c r="J11" s="80">
        <f>J6+J9-J10</f>
        <v>67191.93639017755</v>
      </c>
      <c r="K11" s="80">
        <f>K6+K9-K10</f>
        <v>67191.93639017755</v>
      </c>
      <c r="L11" s="80">
        <f>L6+L9-L10</f>
        <v>67191.93639017755</v>
      </c>
      <c r="M11" s="80">
        <f>M6+M9-M10</f>
        <v>67191.93639017755</v>
      </c>
      <c r="N11" s="80">
        <f>N6+N9-N10</f>
        <v>67191.93639017755</v>
      </c>
      <c r="O11" s="80">
        <f>O6+O9-O10</f>
        <v>67191.93639017755</v>
      </c>
      <c r="P11" s="80">
        <f>P6+P9-P10</f>
        <v>67191.93639017755</v>
      </c>
      <c r="Q11" s="80">
        <f>Q6+Q9-Q10</f>
        <v>67191.93639017755</v>
      </c>
      <c r="R11" s="80">
        <f>R6+R9-R10</f>
        <v>67191.93639017755</v>
      </c>
      <c r="S11" s="80">
        <f>S6+S9-S10</f>
        <v>154691.9363901776</v>
      </c>
      <c r="T11" s="80">
        <f>T6+T9-T10</f>
        <v>67191.93639017755</v>
      </c>
      <c r="U11" s="80">
        <f>U6+U9-U10</f>
        <v>67191.93639017755</v>
      </c>
      <c r="V11" s="80">
        <f>V6+V9-V10</f>
        <v>67191.93639017755</v>
      </c>
      <c r="W11" s="80">
        <f>W6+W9-W10</f>
        <v>67191.93639017755</v>
      </c>
      <c r="X11" s="80">
        <f>X6+X9-X10</f>
        <v>67191.93639017755</v>
      </c>
      <c r="Y11" s="80">
        <f>Y6+Y9-Y10</f>
        <v>67191.93639017755</v>
      </c>
      <c r="Z11" s="85">
        <f>SUMIF($B$13:$Y$13,"Yes",B11:Y11)</f>
        <v>2099343.315469525</v>
      </c>
      <c r="AA11" s="80">
        <f>SUM(B11:M11)</f>
        <v>1205540.078787394</v>
      </c>
      <c r="AB11" s="46">
        <f>SUM(B11:Y11)</f>
        <v>2099343.315469525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0.0094744258057724</v>
      </c>
      <c r="D12" s="82">
        <f>IF(D13="Yes",IF(SUM($B$10:D10)/(SUM($B$6:D6)+SUM($B$9:D9))&lt;0,999.99,SUM($B$10:D10)/(SUM($B$6:D6)+SUM($B$9:D9))),"")</f>
        <v>0.0160015864976142</v>
      </c>
      <c r="E12" s="82">
        <f>IF(E13="Yes",IF(SUM($B$10:E10)/(SUM($B$6:E6)+SUM($B$9:E9))&lt;0,999.99,SUM($B$10:E10)/(SUM($B$6:E6)+SUM($B$9:E9))),"")</f>
        <v>0.0207716070315665</v>
      </c>
      <c r="F12" s="82">
        <f>IF(F13="Yes",IF(SUM($B$10:F10)/(SUM($B$6:F6)+SUM($B$9:F9))&lt;0,999.99,SUM($B$10:F10)/(SUM($B$6:F6)+SUM($B$9:F9))),"")</f>
        <v>0.02440985611803004</v>
      </c>
      <c r="G12" s="82">
        <f>IF(G13="Yes",IF(SUM($B$10:G10)/(SUM($B$6:G6)+SUM($B$9:G9))&lt;0,999.99,SUM($B$10:G10)/(SUM($B$6:G6)+SUM($B$9:G9))),"")</f>
        <v>0.02727641502928257</v>
      </c>
      <c r="H12" s="82">
        <f>IF(H13="Yes",IF(SUM($B$10:H10)/(SUM($B$6:H6)+SUM($B$9:H9))&lt;0,999.99,SUM($B$10:H10)/(SUM($B$6:H6)+SUM($B$9:H9))),"")</f>
        <v>0.0468992620939897</v>
      </c>
      <c r="I12" s="82">
        <f>IF(I13="Yes",IF(SUM($B$10:I10)/(SUM($B$6:I6)+SUM($B$9:I9))&lt;0,999.99,SUM($B$10:I10)/(SUM($B$6:I6)+SUM($B$9:I9))),"")</f>
        <v>0.06308832982728881</v>
      </c>
      <c r="J12" s="82">
        <f>IF(J13="Yes",IF(SUM($B$10:J10)/(SUM($B$6:J6)+SUM($B$9:J9))&lt;0,999.99,SUM($B$10:J10)/(SUM($B$6:J6)+SUM($B$9:J9))),"")</f>
        <v>0.07667241293122526</v>
      </c>
      <c r="K12" s="82">
        <f>IF(K13="Yes",IF(SUM($B$10:K10)/(SUM($B$6:K6)+SUM($B$9:K9))&lt;0,999.99,SUM($B$10:K10)/(SUM($B$6:K6)+SUM($B$9:K9))),"")</f>
        <v>0.08823344448386083</v>
      </c>
      <c r="L12" s="82">
        <f>IF(L13="Yes",IF(SUM($B$10:L10)/(SUM($B$6:L6)+SUM($B$9:L9))&lt;0,999.99,SUM($B$10:L10)/(SUM($B$6:L6)+SUM($B$9:L9))),"")</f>
        <v>0.09819203772712867</v>
      </c>
      <c r="M12" s="82">
        <f>IF(M13="Yes",IF(SUM($B$10:M10)/(SUM($B$6:M6)+SUM($B$9:M9))&lt;0,999.99,SUM($B$10:M10)/(SUM($B$6:M6)+SUM($B$9:M9))),"")</f>
        <v>0.1068597631746986</v>
      </c>
      <c r="N12" s="82">
        <f>IF(N13="Yes",IF(SUM($B$10:N10)/(SUM($B$6:N6)+SUM($B$9:N9))&lt;0,999.99,SUM($B$10:N10)/(SUM($B$6:N6)+SUM($B$9:N9))),"")</f>
        <v>0.1144723340575621</v>
      </c>
      <c r="O12" s="82">
        <f>IF(O13="Yes",IF(SUM($B$10:O10)/(SUM($B$6:O6)+SUM($B$9:O9))&lt;0,999.99,SUM($B$10:O10)/(SUM($B$6:O6)+SUM($B$9:O9))),"")</f>
        <v>0.1212113677495221</v>
      </c>
      <c r="P12" s="82">
        <f>IF(P13="Yes",IF(SUM($B$10:P10)/(SUM($B$6:P6)+SUM($B$9:P9))&lt;0,999.99,SUM($B$10:P10)/(SUM($B$6:P6)+SUM($B$9:P9))),"")</f>
        <v>0.1272190623575066</v>
      </c>
      <c r="Q12" s="82">
        <f>IF(Q13="Yes",IF(SUM($B$10:Q10)/(SUM($B$6:Q6)+SUM($B$9:Q9))&lt;0,999.99,SUM($B$10:Q10)/(SUM($B$6:Q6)+SUM($B$9:Q9))),"")</f>
        <v>0.1326083410054248</v>
      </c>
      <c r="R12" s="82">
        <f>IF(R13="Yes",IF(SUM($B$10:R10)/(SUM($B$6:R6)+SUM($B$9:R9))&lt;0,999.99,SUM($B$10:R10)/(SUM($B$6:R6)+SUM($B$9:R9))),"")</f>
        <v>0.1374700167842662</v>
      </c>
      <c r="S12" s="82">
        <f>IF(S13="Yes",IF(SUM($B$10:S10)/(SUM($B$6:S6)+SUM($B$9:S9))&lt;0,999.99,SUM($B$10:S10)/(SUM($B$6:S6)+SUM($B$9:S9))),"")</f>
        <v>0.1355511042749237</v>
      </c>
      <c r="T12" s="82">
        <f>IF(T13="Yes",IF(SUM($B$10:T10)/(SUM($B$6:T6)+SUM($B$9:T9))&lt;0,999.99,SUM($B$10:T10)/(SUM($B$6:T6)+SUM($B$9:T9))),"")</f>
        <v>0.1396646286052723</v>
      </c>
      <c r="U12" s="82">
        <f>IF(U13="Yes",IF(SUM($B$10:U10)/(SUM($B$6:U6)+SUM($B$9:U9))&lt;0,999.99,SUM($B$10:U10)/(SUM($B$6:U6)+SUM($B$9:U9))),"")</f>
        <v>0.1434413861393718</v>
      </c>
      <c r="V12" s="82">
        <f>IF(V13="Yes",IF(SUM($B$10:V10)/(SUM($B$6:V6)+SUM($B$9:V9))&lt;0,999.99,SUM($B$10:V10)/(SUM($B$6:V6)+SUM($B$9:V9))),"")</f>
        <v>0.1469211063210524</v>
      </c>
      <c r="W12" s="82">
        <f>IF(W13="Yes",IF(SUM($B$10:W10)/(SUM($B$6:W6)+SUM($B$9:W9))&lt;0,999.99,SUM($B$10:W10)/(SUM($B$6:W6)+SUM($B$9:W9))),"")</f>
        <v>0.1501375057032411</v>
      </c>
      <c r="X12" s="82">
        <f>IF(X13="Yes",IF(SUM($B$10:X10)/(SUM($B$6:X6)+SUM($B$9:X9))&lt;0,999.99,SUM($B$10:X10)/(SUM($B$6:X6)+SUM($B$9:X9))),"")</f>
        <v>0.15311938401026</v>
      </c>
      <c r="Y12" s="82">
        <f>IF(Y13="Yes",IF(SUM($B$10:Y10)/(SUM($B$6:Y6)+SUM($B$9:Y9))&lt;0,999.99,SUM($B$10:Y10)/(SUM($B$6:Y6)+SUM($B$9:Y9))),"")</f>
        <v>0.155891488878051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42767</v>
      </c>
      <c r="C17" s="17">
        <f>C5</f>
        <v>42795</v>
      </c>
      <c r="D17" s="17">
        <f>D5</f>
        <v>42826</v>
      </c>
      <c r="E17" s="17">
        <f>E5</f>
        <v>42856</v>
      </c>
      <c r="F17" s="17">
        <f>F5</f>
        <v>42887</v>
      </c>
      <c r="G17" s="17">
        <f>G5</f>
        <v>42917</v>
      </c>
      <c r="H17" s="17">
        <f>H5</f>
        <v>42948</v>
      </c>
      <c r="I17" s="17">
        <f>I5</f>
        <v>42979</v>
      </c>
      <c r="J17" s="17">
        <f>J5</f>
        <v>43009</v>
      </c>
      <c r="K17" s="17">
        <f>K5</f>
        <v>43040</v>
      </c>
      <c r="L17" s="17">
        <f>L5</f>
        <v>43070</v>
      </c>
      <c r="M17" s="17">
        <f>M5</f>
        <v>43101</v>
      </c>
      <c r="N17" s="17">
        <f>N5</f>
        <v>43132</v>
      </c>
      <c r="O17" s="17">
        <f>O5</f>
        <v>43160</v>
      </c>
      <c r="P17" s="17">
        <f>P5</f>
        <v>43191</v>
      </c>
      <c r="Q17" s="17">
        <f>Q5</f>
        <v>43221</v>
      </c>
      <c r="R17" s="17">
        <f>R5</f>
        <v>43252</v>
      </c>
      <c r="S17" s="17">
        <f>S5</f>
        <v>43282</v>
      </c>
      <c r="T17" s="17">
        <f>T5</f>
        <v>43313</v>
      </c>
      <c r="U17" s="17">
        <f>U5</f>
        <v>43344</v>
      </c>
      <c r="V17" s="17">
        <f>V5</f>
        <v>43374</v>
      </c>
      <c r="W17" s="17">
        <f>W5</f>
        <v>43405</v>
      </c>
      <c r="X17" s="17">
        <f>X5</f>
        <v>43435</v>
      </c>
      <c r="Y17" s="17">
        <f>Y5</f>
        <v>43466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144609.0225563909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66000.00000000001</v>
      </c>
      <c r="C25" s="36">
        <f>IFERROR(Calculations!$P15/12,"")</f>
        <v>66000.00000000001</v>
      </c>
      <c r="D25" s="36">
        <f>IFERROR(Calculations!$P15/12,"")</f>
        <v>66000.00000000001</v>
      </c>
      <c r="E25" s="36">
        <f>IFERROR(Calculations!$P15/12,"")</f>
        <v>66000.00000000001</v>
      </c>
      <c r="F25" s="36">
        <f>IFERROR(Calculations!$P15/12,"")</f>
        <v>66000.00000000001</v>
      </c>
      <c r="G25" s="36">
        <f>IFERROR(Calculations!$P15/12,"")</f>
        <v>66000.00000000001</v>
      </c>
      <c r="H25" s="36">
        <f>IFERROR(Calculations!$P15/12,"")</f>
        <v>66000.00000000001</v>
      </c>
      <c r="I25" s="36">
        <f>IFERROR(Calculations!$P15/12,"")</f>
        <v>66000.00000000001</v>
      </c>
      <c r="J25" s="36">
        <f>IFERROR(Calculations!$P15/12,"")</f>
        <v>66000.00000000001</v>
      </c>
      <c r="K25" s="36">
        <f>IFERROR(Calculations!$P15/12,"")</f>
        <v>66000.00000000001</v>
      </c>
      <c r="L25" s="36">
        <f>IFERROR(Calculations!$P15/12,"")</f>
        <v>66000.00000000001</v>
      </c>
      <c r="M25" s="36">
        <f>IFERROR(Calculations!$P15/12,"")</f>
        <v>66000.00000000001</v>
      </c>
      <c r="N25" s="36">
        <f>IFERROR(Calculations!$P15/12,"")</f>
        <v>66000.00000000001</v>
      </c>
      <c r="O25" s="36">
        <f>IFERROR(Calculations!$P15/12,"")</f>
        <v>66000.00000000001</v>
      </c>
      <c r="P25" s="36">
        <f>IFERROR(Calculations!$P15/12,"")</f>
        <v>66000.00000000001</v>
      </c>
      <c r="Q25" s="36">
        <f>IFERROR(Calculations!$P15/12,"")</f>
        <v>66000.00000000001</v>
      </c>
      <c r="R25" s="36">
        <f>IFERROR(Calculations!$P15/12,"")</f>
        <v>66000.00000000001</v>
      </c>
      <c r="S25" s="36">
        <f>IFERROR(Calculations!$P15/12,"")</f>
        <v>66000.00000000001</v>
      </c>
      <c r="T25" s="36">
        <f>IFERROR(Calculations!$P15/12,"")</f>
        <v>66000.00000000001</v>
      </c>
      <c r="U25" s="36">
        <f>IFERROR(Calculations!$P15/12,"")</f>
        <v>66000.00000000001</v>
      </c>
      <c r="V25" s="36">
        <f>IFERROR(Calculations!$P15/12,"")</f>
        <v>66000.00000000001</v>
      </c>
      <c r="W25" s="36">
        <f>IFERROR(Calculations!$P15/12,"")</f>
        <v>66000.00000000001</v>
      </c>
      <c r="X25" s="36">
        <f>IFERROR(Calculations!$P15/12,"")</f>
        <v>66000.00000000001</v>
      </c>
      <c r="Y25" s="36">
        <f>IFERROR(Calculations!$P15/12,"")</f>
        <v>66000.00000000001</v>
      </c>
      <c r="Z25" s="36">
        <f>SUMIF($B$13:$Y$13,"Yes",B25:Y25)</f>
        <v>1584000</v>
      </c>
      <c r="AA25" s="36">
        <f>SUM(B25:M25)</f>
        <v>792000.0000000001</v>
      </c>
      <c r="AB25" s="46">
        <f>SUM(B25:Y25)</f>
        <v>1584000</v>
      </c>
    </row>
    <row r="26" spans="1:30">
      <c r="A26" s="43" t="str">
        <f>IF(Inputs!A21="","",IF(Inputs!A21=Parameters!$A$30,Inputs!B21,Inputs!A21))</f>
        <v>Cows_dairy</v>
      </c>
      <c r="B26" s="36">
        <f>IFERROR(Calculations!$P16/12,"")</f>
        <v>108359.375</v>
      </c>
      <c r="C26" s="36">
        <f>IFERROR(Calculations!$P16/12,"")</f>
        <v>108359.375</v>
      </c>
      <c r="D26" s="36">
        <f>IFERROR(Calculations!$P16/12,"")</f>
        <v>108359.375</v>
      </c>
      <c r="E26" s="36">
        <f>IFERROR(Calculations!$P16/12,"")</f>
        <v>108359.375</v>
      </c>
      <c r="F26" s="36">
        <f>IFERROR(Calculations!$P16/12,"")</f>
        <v>108359.375</v>
      </c>
      <c r="G26" s="36">
        <f>IFERROR(Calculations!$P16/12,"")</f>
        <v>108359.375</v>
      </c>
      <c r="H26" s="36">
        <f>IFERROR(Calculations!$P16/12,"")</f>
        <v>108359.375</v>
      </c>
      <c r="I26" s="36">
        <f>IFERROR(Calculations!$P16/12,"")</f>
        <v>108359.375</v>
      </c>
      <c r="J26" s="36">
        <f>IFERROR(Calculations!$P16/12,"")</f>
        <v>108359.375</v>
      </c>
      <c r="K26" s="36">
        <f>IFERROR(Calculations!$P16/12,"")</f>
        <v>108359.375</v>
      </c>
      <c r="L26" s="36">
        <f>IFERROR(Calculations!$P16/12,"")</f>
        <v>108359.375</v>
      </c>
      <c r="M26" s="36">
        <f>IFERROR(Calculations!$P16/12,"")</f>
        <v>108359.375</v>
      </c>
      <c r="N26" s="36">
        <f>IFERROR(Calculations!$P16/12,"")</f>
        <v>108359.375</v>
      </c>
      <c r="O26" s="36">
        <f>IFERROR(Calculations!$P16/12,"")</f>
        <v>108359.375</v>
      </c>
      <c r="P26" s="36">
        <f>IFERROR(Calculations!$P16/12,"")</f>
        <v>108359.375</v>
      </c>
      <c r="Q26" s="36">
        <f>IFERROR(Calculations!$P16/12,"")</f>
        <v>108359.375</v>
      </c>
      <c r="R26" s="36">
        <f>IFERROR(Calculations!$P16/12,"")</f>
        <v>108359.375</v>
      </c>
      <c r="S26" s="36">
        <f>IFERROR(Calculations!$P16/12,"")</f>
        <v>108359.375</v>
      </c>
      <c r="T26" s="36">
        <f>IFERROR(Calculations!$P16/12,"")</f>
        <v>108359.375</v>
      </c>
      <c r="U26" s="36">
        <f>IFERROR(Calculations!$P16/12,"")</f>
        <v>108359.375</v>
      </c>
      <c r="V26" s="36">
        <f>IFERROR(Calculations!$P16/12,"")</f>
        <v>108359.375</v>
      </c>
      <c r="W26" s="36">
        <f>IFERROR(Calculations!$P16/12,"")</f>
        <v>108359.375</v>
      </c>
      <c r="X26" s="36">
        <f>IFERROR(Calculations!$P16/12,"")</f>
        <v>108359.375</v>
      </c>
      <c r="Y26" s="36">
        <f>IFERROR(Calculations!$P16/12,"")</f>
        <v>108359.375</v>
      </c>
      <c r="Z26" s="36">
        <f>SUMIF($B$13:$Y$13,"Yes",B26:Y26)</f>
        <v>2600625</v>
      </c>
      <c r="AA26" s="36">
        <f>SUM(B26:M26)</f>
        <v>1300312.5</v>
      </c>
      <c r="AB26" s="46">
        <f>SUM(B26:Y26)</f>
        <v>2600625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87500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87500</v>
      </c>
      <c r="AA27" s="36">
        <f>SUM(B27:M27)</f>
        <v>0</v>
      </c>
      <c r="AB27" s="46">
        <f>SUM(B27:Y27)</f>
        <v>87500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10000</v>
      </c>
      <c r="C29" s="37">
        <f>Inputs!$B$30</f>
        <v>10000</v>
      </c>
      <c r="D29" s="37">
        <f>Inputs!$B$30</f>
        <v>10000</v>
      </c>
      <c r="E29" s="37">
        <f>Inputs!$B$30</f>
        <v>10000</v>
      </c>
      <c r="F29" s="37">
        <f>Inputs!$B$30</f>
        <v>10000</v>
      </c>
      <c r="G29" s="37">
        <f>Inputs!$B$30</f>
        <v>10000</v>
      </c>
      <c r="H29" s="37">
        <f>Inputs!$B$30</f>
        <v>10000</v>
      </c>
      <c r="I29" s="37">
        <f>Inputs!$B$30</f>
        <v>10000</v>
      </c>
      <c r="J29" s="37">
        <f>Inputs!$B$30</f>
        <v>10000</v>
      </c>
      <c r="K29" s="37">
        <f>Inputs!$B$30</f>
        <v>10000</v>
      </c>
      <c r="L29" s="37">
        <f>Inputs!$B$30</f>
        <v>10000</v>
      </c>
      <c r="M29" s="37">
        <f>Inputs!$B$30</f>
        <v>10000</v>
      </c>
      <c r="N29" s="37">
        <f>Inputs!$B$30</f>
        <v>10000</v>
      </c>
      <c r="O29" s="37">
        <f>Inputs!$B$30</f>
        <v>10000</v>
      </c>
      <c r="P29" s="37">
        <f>Inputs!$B$30</f>
        <v>10000</v>
      </c>
      <c r="Q29" s="37">
        <f>Inputs!$B$30</f>
        <v>10000</v>
      </c>
      <c r="R29" s="37">
        <f>Inputs!$B$30</f>
        <v>10000</v>
      </c>
      <c r="S29" s="37">
        <f>Inputs!$B$30</f>
        <v>10000</v>
      </c>
      <c r="T29" s="37">
        <f>Inputs!$B$30</f>
        <v>10000</v>
      </c>
      <c r="U29" s="37">
        <f>Inputs!$B$30</f>
        <v>10000</v>
      </c>
      <c r="V29" s="37">
        <f>Inputs!$B$30</f>
        <v>10000</v>
      </c>
      <c r="W29" s="37">
        <f>Inputs!$B$30</f>
        <v>10000</v>
      </c>
      <c r="X29" s="37">
        <f>Inputs!$B$30</f>
        <v>10000</v>
      </c>
      <c r="Y29" s="37">
        <f>Inputs!$B$30</f>
        <v>10000</v>
      </c>
      <c r="Z29" s="37">
        <f>SUMIF($B$13:$Y$13,"Yes",B29:Y29)</f>
        <v>240000</v>
      </c>
      <c r="AA29" s="37">
        <f>SUM(B29:M29)</f>
        <v>120000</v>
      </c>
      <c r="AB29" s="37">
        <f>SUM(B29:Y29)</f>
        <v>240000</v>
      </c>
    </row>
    <row r="30" spans="1:30" customHeight="1" ht="15.75">
      <c r="A30" s="1" t="s">
        <v>37</v>
      </c>
      <c r="B30" s="19">
        <f>SUM(B18:B29)</f>
        <v>184359.375</v>
      </c>
      <c r="C30" s="19">
        <f>SUM(C18:C29)</f>
        <v>184359.375</v>
      </c>
      <c r="D30" s="19">
        <f>SUM(D18:D29)</f>
        <v>184359.375</v>
      </c>
      <c r="E30" s="19">
        <f>SUM(E18:E29)</f>
        <v>184359.375</v>
      </c>
      <c r="F30" s="19">
        <f>SUM(F18:F29)</f>
        <v>184359.375</v>
      </c>
      <c r="G30" s="19">
        <f>SUM(G18:G29)</f>
        <v>184359.375</v>
      </c>
      <c r="H30" s="19">
        <f>SUM(H18:H29)</f>
        <v>184359.375</v>
      </c>
      <c r="I30" s="19">
        <f>SUM(I18:I29)</f>
        <v>184359.375</v>
      </c>
      <c r="J30" s="19">
        <f>SUM(J18:J29)</f>
        <v>184359.375</v>
      </c>
      <c r="K30" s="19">
        <f>SUM(K18:K29)</f>
        <v>184359.375</v>
      </c>
      <c r="L30" s="19">
        <f>SUM(L18:L29)</f>
        <v>184359.375</v>
      </c>
      <c r="M30" s="19">
        <f>SUM(M18:M29)</f>
        <v>184359.375</v>
      </c>
      <c r="N30" s="19">
        <f>SUM(N18:N29)</f>
        <v>184359.375</v>
      </c>
      <c r="O30" s="19">
        <f>SUM(O18:O29)</f>
        <v>184359.375</v>
      </c>
      <c r="P30" s="19">
        <f>SUM(P18:P29)</f>
        <v>184359.375</v>
      </c>
      <c r="Q30" s="19">
        <f>SUM(Q18:Q29)</f>
        <v>184359.375</v>
      </c>
      <c r="R30" s="19">
        <f>SUM(R18:R29)</f>
        <v>184359.375</v>
      </c>
      <c r="S30" s="19">
        <f>SUM(S18:S29)</f>
        <v>271859.375</v>
      </c>
      <c r="T30" s="19">
        <f>SUM(T18:T29)</f>
        <v>184359.375</v>
      </c>
      <c r="U30" s="19">
        <f>SUM(U18:U29)</f>
        <v>184359.375</v>
      </c>
      <c r="V30" s="19">
        <f>SUM(V18:V29)</f>
        <v>184359.375</v>
      </c>
      <c r="W30" s="19">
        <f>SUM(W18:W29)</f>
        <v>184359.375</v>
      </c>
      <c r="X30" s="19">
        <f>SUM(X18:X29)</f>
        <v>184359.375</v>
      </c>
      <c r="Y30" s="19">
        <f>SUM(Y18:Y29)</f>
        <v>184359.375</v>
      </c>
      <c r="Z30" s="19">
        <f>SUMIF($B$13:$Y$13,"Yes",B30:Y30)</f>
        <v>4512125</v>
      </c>
      <c r="AA30" s="19">
        <f>SUM(B30:M30)</f>
        <v>2212312.5</v>
      </c>
      <c r="AB30" s="19">
        <f>SUM(B30:Y30)</f>
        <v>4512125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42767</v>
      </c>
      <c r="C35" s="17">
        <f>C17</f>
        <v>42795</v>
      </c>
      <c r="D35" s="17">
        <f>D17</f>
        <v>42826</v>
      </c>
      <c r="E35" s="17">
        <f>E17</f>
        <v>42856</v>
      </c>
      <c r="F35" s="17">
        <f>F17</f>
        <v>42887</v>
      </c>
      <c r="G35" s="17">
        <f>G17</f>
        <v>42917</v>
      </c>
      <c r="H35" s="17">
        <f>H17</f>
        <v>42948</v>
      </c>
      <c r="I35" s="17">
        <f>I17</f>
        <v>42979</v>
      </c>
      <c r="J35" s="17">
        <f>J17</f>
        <v>43009</v>
      </c>
      <c r="K35" s="17">
        <f>K17</f>
        <v>43040</v>
      </c>
      <c r="L35" s="17">
        <f>L17</f>
        <v>43070</v>
      </c>
      <c r="M35" s="17">
        <f>M17</f>
        <v>43101</v>
      </c>
      <c r="N35" s="17">
        <f>N17</f>
        <v>43132</v>
      </c>
      <c r="O35" s="17">
        <f>O17</f>
        <v>43160</v>
      </c>
      <c r="P35" s="17">
        <f>P17</f>
        <v>43191</v>
      </c>
      <c r="Q35" s="17">
        <f>Q17</f>
        <v>43221</v>
      </c>
      <c r="R35" s="17">
        <f>R17</f>
        <v>43252</v>
      </c>
      <c r="S35" s="17">
        <f>S17</f>
        <v>43282</v>
      </c>
      <c r="T35" s="17">
        <f>T17</f>
        <v>43313</v>
      </c>
      <c r="U35" s="17">
        <f>U17</f>
        <v>43344</v>
      </c>
      <c r="V35" s="17">
        <f>V17</f>
        <v>43374</v>
      </c>
      <c r="W35" s="17">
        <f>W17</f>
        <v>43405</v>
      </c>
      <c r="X35" s="17">
        <f>X17</f>
        <v>43435</v>
      </c>
      <c r="Y35" s="17">
        <f>Y17</f>
        <v>43466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28895.83333333333</v>
      </c>
      <c r="C74" s="46">
        <f>SUM(Calculations!$Q$14:$Q$16)/12</f>
        <v>28895.83333333333</v>
      </c>
      <c r="D74" s="46">
        <f>SUM(Calculations!$Q$14:$Q$16)/12</f>
        <v>28895.83333333333</v>
      </c>
      <c r="E74" s="46">
        <f>SUM(Calculations!$Q$14:$Q$16)/12</f>
        <v>28895.83333333333</v>
      </c>
      <c r="F74" s="46">
        <f>SUM(Calculations!$Q$14:$Q$16)/12</f>
        <v>28895.83333333333</v>
      </c>
      <c r="G74" s="46">
        <f>SUM(Calculations!$Q$14:$Q$16)/12</f>
        <v>28895.83333333333</v>
      </c>
      <c r="H74" s="46">
        <f>SUM(Calculations!$Q$14:$Q$16)/12</f>
        <v>28895.83333333333</v>
      </c>
      <c r="I74" s="46">
        <f>SUM(Calculations!$Q$14:$Q$16)/12</f>
        <v>28895.83333333333</v>
      </c>
      <c r="J74" s="46">
        <f>SUM(Calculations!$Q$14:$Q$16)/12</f>
        <v>28895.83333333333</v>
      </c>
      <c r="K74" s="46">
        <f>SUM(Calculations!$Q$14:$Q$16)/12</f>
        <v>28895.83333333333</v>
      </c>
      <c r="L74" s="46">
        <f>SUM(Calculations!$Q$14:$Q$16)/12</f>
        <v>28895.83333333333</v>
      </c>
      <c r="M74" s="46">
        <f>SUM(Calculations!$Q$14:$Q$16)/12</f>
        <v>28895.83333333333</v>
      </c>
      <c r="N74" s="46">
        <f>SUM(Calculations!$Q$14:$Q$16)/12</f>
        <v>28895.83333333333</v>
      </c>
      <c r="O74" s="46">
        <f>SUM(Calculations!$Q$14:$Q$16)/12</f>
        <v>28895.83333333333</v>
      </c>
      <c r="P74" s="46">
        <f>SUM(Calculations!$Q$14:$Q$16)/12</f>
        <v>28895.83333333333</v>
      </c>
      <c r="Q74" s="46">
        <f>SUM(Calculations!$Q$14:$Q$16)/12</f>
        <v>28895.83333333333</v>
      </c>
      <c r="R74" s="46">
        <f>SUM(Calculations!$Q$14:$Q$16)/12</f>
        <v>28895.83333333333</v>
      </c>
      <c r="S74" s="46">
        <f>SUM(Calculations!$Q$14:$Q$16)/12</f>
        <v>28895.83333333333</v>
      </c>
      <c r="T74" s="46">
        <f>SUM(Calculations!$Q$14:$Q$16)/12</f>
        <v>28895.83333333333</v>
      </c>
      <c r="U74" s="46">
        <f>SUM(Calculations!$Q$14:$Q$16)/12</f>
        <v>28895.83333333333</v>
      </c>
      <c r="V74" s="46">
        <f>SUM(Calculations!$Q$14:$Q$16)/12</f>
        <v>28895.83333333333</v>
      </c>
      <c r="W74" s="46">
        <f>SUM(Calculations!$Q$14:$Q$16)/12</f>
        <v>28895.83333333333</v>
      </c>
      <c r="X74" s="46">
        <f>SUM(Calculations!$Q$14:$Q$16)/12</f>
        <v>28895.83333333333</v>
      </c>
      <c r="Y74" s="46">
        <f>SUM(Calculations!$Q$14:$Q$16)/12</f>
        <v>28895.83333333333</v>
      </c>
      <c r="Z74" s="46">
        <f>SUMIF($B$13:$Y$13,"Yes",B74:Y74)</f>
        <v>693500.0000000001</v>
      </c>
      <c r="AA74" s="46">
        <f>SUM(B74:M74)</f>
        <v>346750</v>
      </c>
      <c r="AB74" s="46">
        <f>SUM(B74:Y74)</f>
        <v>693500.0000000001</v>
      </c>
    </row>
    <row r="75" spans="1:30">
      <c r="A75" s="16" t="s">
        <v>47</v>
      </c>
      <c r="B75" s="46">
        <f>SUM(Calculations!$R$14:$R$16)/12</f>
        <v>1572.222222222222</v>
      </c>
      <c r="C75" s="46">
        <f>SUM(Calculations!$R$14:$R$16)/12</f>
        <v>1572.222222222222</v>
      </c>
      <c r="D75" s="46">
        <f>SUM(Calculations!$R$14:$R$16)/12</f>
        <v>1572.222222222222</v>
      </c>
      <c r="E75" s="46">
        <f>SUM(Calculations!$R$14:$R$16)/12</f>
        <v>1572.222222222222</v>
      </c>
      <c r="F75" s="46">
        <f>SUM(Calculations!$R$14:$R$16)/12</f>
        <v>1572.222222222222</v>
      </c>
      <c r="G75" s="46">
        <f>SUM(Calculations!$R$14:$R$16)/12</f>
        <v>1572.222222222222</v>
      </c>
      <c r="H75" s="46">
        <f>SUM(Calculations!$R$14:$R$16)/12</f>
        <v>1572.222222222222</v>
      </c>
      <c r="I75" s="46">
        <f>SUM(Calculations!$R$14:$R$16)/12</f>
        <v>1572.222222222222</v>
      </c>
      <c r="J75" s="46">
        <f>SUM(Calculations!$R$14:$R$16)/12</f>
        <v>1572.222222222222</v>
      </c>
      <c r="K75" s="46">
        <f>SUM(Calculations!$R$14:$R$16)/12</f>
        <v>1572.222222222222</v>
      </c>
      <c r="L75" s="46">
        <f>SUM(Calculations!$R$14:$R$16)/12</f>
        <v>1572.222222222222</v>
      </c>
      <c r="M75" s="46">
        <f>SUM(Calculations!$R$14:$R$16)/12</f>
        <v>1572.222222222222</v>
      </c>
      <c r="N75" s="46">
        <f>SUM(Calculations!$R$14:$R$16)/12</f>
        <v>1572.222222222222</v>
      </c>
      <c r="O75" s="46">
        <f>SUM(Calculations!$R$14:$R$16)/12</f>
        <v>1572.222222222222</v>
      </c>
      <c r="P75" s="46">
        <f>SUM(Calculations!$R$14:$R$16)/12</f>
        <v>1572.222222222222</v>
      </c>
      <c r="Q75" s="46">
        <f>SUM(Calculations!$R$14:$R$16)/12</f>
        <v>1572.222222222222</v>
      </c>
      <c r="R75" s="46">
        <f>SUM(Calculations!$R$14:$R$16)/12</f>
        <v>1572.222222222222</v>
      </c>
      <c r="S75" s="46">
        <f>SUM(Calculations!$R$14:$R$16)/12</f>
        <v>1572.222222222222</v>
      </c>
      <c r="T75" s="46">
        <f>SUM(Calculations!$R$14:$R$16)/12</f>
        <v>1572.222222222222</v>
      </c>
      <c r="U75" s="46">
        <f>SUM(Calculations!$R$14:$R$16)/12</f>
        <v>1572.222222222222</v>
      </c>
      <c r="V75" s="46">
        <f>SUM(Calculations!$R$14:$R$16)/12</f>
        <v>1572.222222222222</v>
      </c>
      <c r="W75" s="46">
        <f>SUM(Calculations!$R$14:$R$16)/12</f>
        <v>1572.222222222222</v>
      </c>
      <c r="X75" s="46">
        <f>SUM(Calculations!$R$14:$R$16)/12</f>
        <v>1572.222222222222</v>
      </c>
      <c r="Y75" s="46">
        <f>SUM(Calculations!$R$14:$R$16)/12</f>
        <v>1572.222222222222</v>
      </c>
      <c r="Z75" s="46">
        <f>SUMIF($B$13:$Y$13,"Yes",B75:Y75)</f>
        <v>37733.33333333333</v>
      </c>
      <c r="AA75" s="46">
        <f>SUM(B75:M75)</f>
        <v>18866.66666666667</v>
      </c>
      <c r="AB75" s="46">
        <f>SUM(B75:Y75)</f>
        <v>37733.33333333333</v>
      </c>
    </row>
    <row r="76" spans="1:30">
      <c r="A76" s="16" t="s">
        <v>48</v>
      </c>
      <c r="B76" s="46">
        <f>SUM(Calculations!$S$14:$S$16)/12</f>
        <v>6025.375939849623</v>
      </c>
      <c r="C76" s="46">
        <f>SUM(Calculations!$S$14:$S$16)/12</f>
        <v>6025.375939849623</v>
      </c>
      <c r="D76" s="46">
        <f>SUM(Calculations!$S$14:$S$16)/12</f>
        <v>6025.375939849623</v>
      </c>
      <c r="E76" s="46">
        <f>SUM(Calculations!$S$14:$S$16)/12</f>
        <v>6025.375939849623</v>
      </c>
      <c r="F76" s="46">
        <f>SUM(Calculations!$S$14:$S$16)/12</f>
        <v>6025.375939849623</v>
      </c>
      <c r="G76" s="46">
        <f>SUM(Calculations!$S$14:$S$16)/12</f>
        <v>6025.375939849623</v>
      </c>
      <c r="H76" s="46">
        <f>SUM(Calculations!$S$14:$S$16)/12</f>
        <v>6025.375939849623</v>
      </c>
      <c r="I76" s="46">
        <f>SUM(Calculations!$S$14:$S$16)/12</f>
        <v>6025.375939849623</v>
      </c>
      <c r="J76" s="46">
        <f>SUM(Calculations!$S$14:$S$16)/12</f>
        <v>6025.375939849623</v>
      </c>
      <c r="K76" s="46">
        <f>SUM(Calculations!$S$14:$S$16)/12</f>
        <v>6025.375939849623</v>
      </c>
      <c r="L76" s="46">
        <f>SUM(Calculations!$S$14:$S$16)/12</f>
        <v>6025.375939849623</v>
      </c>
      <c r="M76" s="46">
        <f>SUM(Calculations!$S$14:$S$16)/12</f>
        <v>6025.375939849623</v>
      </c>
      <c r="N76" s="46">
        <f>SUM(Calculations!$S$14:$S$16)/12</f>
        <v>6025.375939849623</v>
      </c>
      <c r="O76" s="46">
        <f>SUM(Calculations!$S$14:$S$16)/12</f>
        <v>6025.375939849623</v>
      </c>
      <c r="P76" s="46">
        <f>SUM(Calculations!$S$14:$S$16)/12</f>
        <v>6025.375939849623</v>
      </c>
      <c r="Q76" s="46">
        <f>SUM(Calculations!$S$14:$S$16)/12</f>
        <v>6025.375939849623</v>
      </c>
      <c r="R76" s="46">
        <f>SUM(Calculations!$S$14:$S$16)/12</f>
        <v>6025.375939849623</v>
      </c>
      <c r="S76" s="46">
        <f>SUM(Calculations!$S$14:$S$16)/12</f>
        <v>6025.375939849623</v>
      </c>
      <c r="T76" s="46">
        <f>SUM(Calculations!$S$14:$S$16)/12</f>
        <v>6025.375939849623</v>
      </c>
      <c r="U76" s="46">
        <f>SUM(Calculations!$S$14:$S$16)/12</f>
        <v>6025.375939849623</v>
      </c>
      <c r="V76" s="46">
        <f>SUM(Calculations!$S$14:$S$16)/12</f>
        <v>6025.375939849623</v>
      </c>
      <c r="W76" s="46">
        <f>SUM(Calculations!$S$14:$S$16)/12</f>
        <v>6025.375939849623</v>
      </c>
      <c r="X76" s="46">
        <f>SUM(Calculations!$S$14:$S$16)/12</f>
        <v>6025.375939849623</v>
      </c>
      <c r="Y76" s="46">
        <f>SUM(Calculations!$S$14:$S$16)/12</f>
        <v>6025.375939849623</v>
      </c>
      <c r="Z76" s="46">
        <f>SUMIF($B$13:$Y$13,"Yes",B76:Y76)</f>
        <v>144609.0225563909</v>
      </c>
      <c r="AA76" s="46">
        <f>SUM(B76:M76)</f>
        <v>72304.51127819548</v>
      </c>
      <c r="AB76" s="46">
        <f>SUM(B76:Y76)</f>
        <v>144609.0225563909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</v>
      </c>
      <c r="C79" s="46">
        <f>Inputs!$B$31</f>
        <v>1500</v>
      </c>
      <c r="D79" s="46">
        <f>Inputs!$B$31</f>
        <v>1500</v>
      </c>
      <c r="E79" s="46">
        <f>Inputs!$B$31</f>
        <v>1500</v>
      </c>
      <c r="F79" s="46">
        <f>Inputs!$B$31</f>
        <v>1500</v>
      </c>
      <c r="G79" s="46">
        <f>Inputs!$B$31</f>
        <v>1500</v>
      </c>
      <c r="H79" s="46">
        <f>Inputs!$B$31</f>
        <v>1500</v>
      </c>
      <c r="I79" s="46">
        <f>Inputs!$B$31</f>
        <v>1500</v>
      </c>
      <c r="J79" s="46">
        <f>Inputs!$B$31</f>
        <v>1500</v>
      </c>
      <c r="K79" s="46">
        <f>Inputs!$B$31</f>
        <v>1500</v>
      </c>
      <c r="L79" s="46">
        <f>Inputs!$B$31</f>
        <v>1500</v>
      </c>
      <c r="M79" s="46">
        <f>Inputs!$B$31</f>
        <v>1500</v>
      </c>
      <c r="N79" s="46">
        <f>Inputs!$B$31</f>
        <v>1500</v>
      </c>
      <c r="O79" s="46">
        <f>Inputs!$B$31</f>
        <v>1500</v>
      </c>
      <c r="P79" s="46">
        <f>Inputs!$B$31</f>
        <v>1500</v>
      </c>
      <c r="Q79" s="46">
        <f>Inputs!$B$31</f>
        <v>1500</v>
      </c>
      <c r="R79" s="46">
        <f>Inputs!$B$31</f>
        <v>1500</v>
      </c>
      <c r="S79" s="46">
        <f>Inputs!$B$31</f>
        <v>1500</v>
      </c>
      <c r="T79" s="46">
        <f>Inputs!$B$31</f>
        <v>1500</v>
      </c>
      <c r="U79" s="46">
        <f>Inputs!$B$31</f>
        <v>1500</v>
      </c>
      <c r="V79" s="46">
        <f>Inputs!$B$31</f>
        <v>1500</v>
      </c>
      <c r="W79" s="46">
        <f>Inputs!$B$31</f>
        <v>1500</v>
      </c>
      <c r="X79" s="46">
        <f>Inputs!$B$31</f>
        <v>1500</v>
      </c>
      <c r="Y79" s="46">
        <f>Inputs!$B$31</f>
        <v>1500</v>
      </c>
      <c r="Z79" s="46">
        <f>SUMIF($B$13:$Y$13,"Yes",B79:Y79)</f>
        <v>36000</v>
      </c>
      <c r="AA79" s="46">
        <f>SUM(B79:M79)</f>
        <v>18000</v>
      </c>
      <c r="AB79" s="46">
        <f>SUM(B79:Y79)</f>
        <v>36000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58546.37740183793</v>
      </c>
      <c r="C81" s="46">
        <f>(SUM($AA$18:$AA$29)-SUM($AA$36,$AA$42,$AA$48,$AA$54,$AA$60,$AA$66,$AA$72:$AA$79))*Parameters!$B$37/12</f>
        <v>58546.37740183793</v>
      </c>
      <c r="D81" s="46">
        <f>(SUM($AA$18:$AA$29)-SUM($AA$36,$AA$42,$AA$48,$AA$54,$AA$60,$AA$66,$AA$72:$AA$79))*Parameters!$B$37/12</f>
        <v>58546.37740183793</v>
      </c>
      <c r="E81" s="46">
        <f>(SUM($AA$18:$AA$29)-SUM($AA$36,$AA$42,$AA$48,$AA$54,$AA$60,$AA$66,$AA$72:$AA$79))*Parameters!$B$37/12</f>
        <v>58546.37740183793</v>
      </c>
      <c r="F81" s="46">
        <f>(SUM($AA$18:$AA$29)-SUM($AA$36,$AA$42,$AA$48,$AA$54,$AA$60,$AA$66,$AA$72:$AA$79))*Parameters!$B$37/12</f>
        <v>58546.37740183793</v>
      </c>
      <c r="G81" s="46">
        <f>(SUM($AA$18:$AA$29)-SUM($AA$36,$AA$42,$AA$48,$AA$54,$AA$60,$AA$66,$AA$72:$AA$79))*Parameters!$B$37/12</f>
        <v>58546.37740183793</v>
      </c>
      <c r="H81" s="46">
        <f>(SUM($AA$18:$AA$29)-SUM($AA$36,$AA$42,$AA$48,$AA$54,$AA$60,$AA$66,$AA$72:$AA$79))*Parameters!$B$37/12</f>
        <v>58546.37740183793</v>
      </c>
      <c r="I81" s="46">
        <f>(SUM($AA$18:$AA$29)-SUM($AA$36,$AA$42,$AA$48,$AA$54,$AA$60,$AA$66,$AA$72:$AA$79))*Parameters!$B$37/12</f>
        <v>58546.37740183793</v>
      </c>
      <c r="J81" s="46">
        <f>(SUM($AA$18:$AA$29)-SUM($AA$36,$AA$42,$AA$48,$AA$54,$AA$60,$AA$66,$AA$72:$AA$79))*Parameters!$B$37/12</f>
        <v>58546.37740183793</v>
      </c>
      <c r="K81" s="46">
        <f>(SUM($AA$18:$AA$29)-SUM($AA$36,$AA$42,$AA$48,$AA$54,$AA$60,$AA$66,$AA$72:$AA$79))*Parameters!$B$37/12</f>
        <v>58546.37740183793</v>
      </c>
      <c r="L81" s="46">
        <f>(SUM($AA$18:$AA$29)-SUM($AA$36,$AA$42,$AA$48,$AA$54,$AA$60,$AA$66,$AA$72:$AA$79))*Parameters!$B$37/12</f>
        <v>58546.37740183793</v>
      </c>
      <c r="M81" s="46">
        <f>(SUM($AA$18:$AA$29)-SUM($AA$36,$AA$42,$AA$48,$AA$54,$AA$60,$AA$66,$AA$72:$AA$79))*Parameters!$B$37/12</f>
        <v>58546.37740183793</v>
      </c>
      <c r="N81" s="46">
        <f>(SUM($AA$18:$AA$29)-SUM($AA$36,$AA$42,$AA$48,$AA$54,$AA$60,$AA$66,$AA$72:$AA$79))*Parameters!$B$37/12</f>
        <v>58546.37740183793</v>
      </c>
      <c r="O81" s="46">
        <f>(SUM($AA$18:$AA$29)-SUM($AA$36,$AA$42,$AA$48,$AA$54,$AA$60,$AA$66,$AA$72:$AA$79))*Parameters!$B$37/12</f>
        <v>58546.37740183793</v>
      </c>
      <c r="P81" s="46">
        <f>(SUM($AA$18:$AA$29)-SUM($AA$36,$AA$42,$AA$48,$AA$54,$AA$60,$AA$66,$AA$72:$AA$79))*Parameters!$B$37/12</f>
        <v>58546.37740183793</v>
      </c>
      <c r="Q81" s="46">
        <f>(SUM($AA$18:$AA$29)-SUM($AA$36,$AA$42,$AA$48,$AA$54,$AA$60,$AA$66,$AA$72:$AA$79))*Parameters!$B$37/12</f>
        <v>58546.37740183793</v>
      </c>
      <c r="R81" s="46">
        <f>(SUM($AA$18:$AA$29)-SUM($AA$36,$AA$42,$AA$48,$AA$54,$AA$60,$AA$66,$AA$72:$AA$79))*Parameters!$B$37/12</f>
        <v>58546.37740183793</v>
      </c>
      <c r="S81" s="46">
        <f>(SUM($AA$18:$AA$29)-SUM($AA$36,$AA$42,$AA$48,$AA$54,$AA$60,$AA$66,$AA$72:$AA$79))*Parameters!$B$37/12</f>
        <v>58546.37740183793</v>
      </c>
      <c r="T81" s="46">
        <f>(SUM($AA$18:$AA$29)-SUM($AA$36,$AA$42,$AA$48,$AA$54,$AA$60,$AA$66,$AA$72:$AA$79))*Parameters!$B$37/12</f>
        <v>58546.37740183793</v>
      </c>
      <c r="U81" s="46">
        <f>(SUM($AA$18:$AA$29)-SUM($AA$36,$AA$42,$AA$48,$AA$54,$AA$60,$AA$66,$AA$72:$AA$79))*Parameters!$B$37/12</f>
        <v>58546.37740183793</v>
      </c>
      <c r="V81" s="46">
        <f>(SUM($AA$18:$AA$29)-SUM($AA$36,$AA$42,$AA$48,$AA$54,$AA$60,$AA$66,$AA$72:$AA$79))*Parameters!$B$37/12</f>
        <v>58546.37740183793</v>
      </c>
      <c r="W81" s="46">
        <f>(SUM($AA$18:$AA$29)-SUM($AA$36,$AA$42,$AA$48,$AA$54,$AA$60,$AA$66,$AA$72:$AA$79))*Parameters!$B$37/12</f>
        <v>58546.37740183793</v>
      </c>
      <c r="X81" s="46">
        <f>(SUM($AA$18:$AA$29)-SUM($AA$36,$AA$42,$AA$48,$AA$54,$AA$60,$AA$66,$AA$72:$AA$79))*Parameters!$B$37/12</f>
        <v>58546.37740183793</v>
      </c>
      <c r="Y81" s="46">
        <f>(SUM($AA$18:$AA$29)-SUM($AA$36,$AA$42,$AA$48,$AA$54,$AA$60,$AA$66,$AA$72:$AA$79))*Parameters!$B$37/12</f>
        <v>58546.37740183793</v>
      </c>
      <c r="Z81" s="46">
        <f>SUMIF($B$13:$Y$13,"Yes",B81:Y81)</f>
        <v>1405113.05764411</v>
      </c>
      <c r="AA81" s="46">
        <f>SUM(B81:M81)</f>
        <v>702556.5288220552</v>
      </c>
      <c r="AB81" s="46">
        <f>SUM(B81:Y81)</f>
        <v>1405113.05764411</v>
      </c>
    </row>
    <row r="82" spans="1:30">
      <c r="A82" s="16" t="s">
        <v>52</v>
      </c>
      <c r="B82" s="46">
        <f>SUM(B83:B87)</f>
        <v>338.1560283687943</v>
      </c>
      <c r="C82" s="46">
        <f>SUM(C83:C87)</f>
        <v>338.1560283687943</v>
      </c>
      <c r="D82" s="46">
        <f>SUM(D83:D87)</f>
        <v>338.1560283687943</v>
      </c>
      <c r="E82" s="46">
        <f>SUM(E83:E87)</f>
        <v>338.1560283687943</v>
      </c>
      <c r="F82" s="46">
        <f>SUM(F83:F87)</f>
        <v>338.1560283687943</v>
      </c>
      <c r="G82" s="46">
        <f>SUM(G83:G87)</f>
        <v>338.1560283687943</v>
      </c>
      <c r="H82" s="46">
        <f>SUM(H83:H87)</f>
        <v>338.1560283687943</v>
      </c>
      <c r="I82" s="46">
        <f>SUM(I83:I87)</f>
        <v>338.1560283687943</v>
      </c>
      <c r="J82" s="46">
        <f>SUM(J83:J87)</f>
        <v>338.1560283687943</v>
      </c>
      <c r="K82" s="46">
        <f>SUM(K83:K87)</f>
        <v>338.1560283687943</v>
      </c>
      <c r="L82" s="46">
        <f>SUM(L83:L87)</f>
        <v>338.1560283687943</v>
      </c>
      <c r="M82" s="46">
        <f>SUM(M83:M87)</f>
        <v>338.1560283687943</v>
      </c>
      <c r="N82" s="46">
        <f>SUM(N83:N87)</f>
        <v>338.1560283687943</v>
      </c>
      <c r="O82" s="46">
        <f>SUM(O83:O87)</f>
        <v>338.1560283687943</v>
      </c>
      <c r="P82" s="46">
        <f>SUM(P83:P87)</f>
        <v>338.1560283687943</v>
      </c>
      <c r="Q82" s="46">
        <f>SUM(Q83:Q87)</f>
        <v>338.1560283687943</v>
      </c>
      <c r="R82" s="46">
        <f>SUM(R83:R87)</f>
        <v>338.1560283687943</v>
      </c>
      <c r="S82" s="46">
        <f>SUM(S83:S87)</f>
        <v>338.1560283687943</v>
      </c>
      <c r="T82" s="46">
        <f>SUM(T83:T87)</f>
        <v>338.1560283687943</v>
      </c>
      <c r="U82" s="46">
        <f>SUM(U83:U87)</f>
        <v>338.1560283687943</v>
      </c>
      <c r="V82" s="46">
        <f>SUM(V83:V87)</f>
        <v>338.1560283687943</v>
      </c>
      <c r="W82" s="46">
        <f>SUM(W83:W87)</f>
        <v>338.1560283687943</v>
      </c>
      <c r="X82" s="46">
        <f>SUM(X83:X87)</f>
        <v>338.1560283687943</v>
      </c>
      <c r="Y82" s="46">
        <f>SUM(Y83:Y87)</f>
        <v>338.1560283687943</v>
      </c>
      <c r="Z82" s="46">
        <f>SUMIF($B$13:$Y$13,"Yes",B82:Y82)</f>
        <v>8115.744680851059</v>
      </c>
      <c r="AA82" s="46">
        <f>SUM(B82:M82)</f>
        <v>4057.872340425531</v>
      </c>
      <c r="AB82" s="46">
        <f>SUM(B82:Y82)</f>
        <v>8115.744680851059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338.1560283687943</v>
      </c>
      <c r="C84" s="46">
        <f>IF(Calculations!$E24&gt;COUNT(Output!$B$35:C$35),Calculations!$B24,IF(Calculations!$E24=COUNT(Output!$B$35:C$35),Inputs!$B57-Calculations!$C24*(Calculations!$E24-1)+Calculations!$D24,0))</f>
        <v>338.1560283687943</v>
      </c>
      <c r="D84" s="46">
        <f>IF(Calculations!$E24&gt;COUNT(Output!$B$35:D$35),Calculations!$B24,IF(Calculations!$E24=COUNT(Output!$B$35:D$35),Inputs!$B57-Calculations!$C24*(Calculations!$E24-1)+Calculations!$D24,0))</f>
        <v>338.1560283687943</v>
      </c>
      <c r="E84" s="46">
        <f>IF(Calculations!$E24&gt;COUNT(Output!$B$35:E$35),Calculations!$B24,IF(Calculations!$E24=COUNT(Output!$B$35:E$35),Inputs!$B57-Calculations!$C24*(Calculations!$E24-1)+Calculations!$D24,0))</f>
        <v>338.1560283687943</v>
      </c>
      <c r="F84" s="46">
        <f>IF(Calculations!$E24&gt;COUNT(Output!$B$35:F$35),Calculations!$B24,IF(Calculations!$E24=COUNT(Output!$B$35:F$35),Inputs!$B57-Calculations!$C24*(Calculations!$E24-1)+Calculations!$D24,0))</f>
        <v>338.1560283687943</v>
      </c>
      <c r="G84" s="46">
        <f>IF(Calculations!$E24&gt;COUNT(Output!$B$35:G$35),Calculations!$B24,IF(Calculations!$E24=COUNT(Output!$B$35:G$35),Inputs!$B57-Calculations!$C24*(Calculations!$E24-1)+Calculations!$D24,0))</f>
        <v>338.1560283687943</v>
      </c>
      <c r="H84" s="46">
        <f>IF(Calculations!$E24&gt;COUNT(Output!$B$35:H$35),Calculations!$B24,IF(Calculations!$E24=COUNT(Output!$B$35:H$35),Inputs!$B57-Calculations!$C24*(Calculations!$E24-1)+Calculations!$D24,0))</f>
        <v>338.1560283687943</v>
      </c>
      <c r="I84" s="46">
        <f>IF(Calculations!$E24&gt;COUNT(Output!$B$35:I$35),Calculations!$B24,IF(Calculations!$E24=COUNT(Output!$B$35:I$35),Inputs!$B57-Calculations!$C24*(Calculations!$E24-1)+Calculations!$D24,0))</f>
        <v>338.1560283687943</v>
      </c>
      <c r="J84" s="46">
        <f>IF(Calculations!$E24&gt;COUNT(Output!$B$35:J$35),Calculations!$B24,IF(Calculations!$E24=COUNT(Output!$B$35:J$35),Inputs!$B57-Calculations!$C24*(Calculations!$E24-1)+Calculations!$D24,0))</f>
        <v>338.1560283687943</v>
      </c>
      <c r="K84" s="46">
        <f>IF(Calculations!$E24&gt;COUNT(Output!$B$35:K$35),Calculations!$B24,IF(Calculations!$E24=COUNT(Output!$B$35:K$35),Inputs!$B57-Calculations!$C24*(Calculations!$E24-1)+Calculations!$D24,0))</f>
        <v>338.1560283687943</v>
      </c>
      <c r="L84" s="46">
        <f>IF(Calculations!$E24&gt;COUNT(Output!$B$35:L$35),Calculations!$B24,IF(Calculations!$E24=COUNT(Output!$B$35:L$35),Inputs!$B57-Calculations!$C24*(Calculations!$E24-1)+Calculations!$D24,0))</f>
        <v>338.1560283687943</v>
      </c>
      <c r="M84" s="46">
        <f>IF(Calculations!$E24&gt;COUNT(Output!$B$35:M$35),Calculations!$B24,IF(Calculations!$E24=COUNT(Output!$B$35:M$35),Inputs!$B57-Calculations!$C24*(Calculations!$E24-1)+Calculations!$D24,0))</f>
        <v>338.1560283687943</v>
      </c>
      <c r="N84" s="46">
        <f>IF(Calculations!$E24&gt;COUNT(Output!$B$35:N$35),Calculations!$B24,IF(Calculations!$E24=COUNT(Output!$B$35:N$35),Inputs!$B57-Calculations!$C24*(Calculations!$E24-1)+Calculations!$D24,0))</f>
        <v>338.1560283687943</v>
      </c>
      <c r="O84" s="46">
        <f>IF(Calculations!$E24&gt;COUNT(Output!$B$35:O$35),Calculations!$B24,IF(Calculations!$E24=COUNT(Output!$B$35:O$35),Inputs!$B57-Calculations!$C24*(Calculations!$E24-1)+Calculations!$D24,0))</f>
        <v>338.1560283687943</v>
      </c>
      <c r="P84" s="46">
        <f>IF(Calculations!$E24&gt;COUNT(Output!$B$35:P$35),Calculations!$B24,IF(Calculations!$E24=COUNT(Output!$B$35:P$35),Inputs!$B57-Calculations!$C24*(Calculations!$E24-1)+Calculations!$D24,0))</f>
        <v>338.1560283687943</v>
      </c>
      <c r="Q84" s="46">
        <f>IF(Calculations!$E24&gt;COUNT(Output!$B$35:Q$35),Calculations!$B24,IF(Calculations!$E24=COUNT(Output!$B$35:Q$35),Inputs!$B57-Calculations!$C24*(Calculations!$E24-1)+Calculations!$D24,0))</f>
        <v>338.1560283687943</v>
      </c>
      <c r="R84" s="46">
        <f>IF(Calculations!$E24&gt;COUNT(Output!$B$35:R$35),Calculations!$B24,IF(Calculations!$E24=COUNT(Output!$B$35:R$35),Inputs!$B57-Calculations!$C24*(Calculations!$E24-1)+Calculations!$D24,0))</f>
        <v>338.1560283687943</v>
      </c>
      <c r="S84" s="46">
        <f>IF(Calculations!$E24&gt;COUNT(Output!$B$35:S$35),Calculations!$B24,IF(Calculations!$E24=COUNT(Output!$B$35:S$35),Inputs!$B57-Calculations!$C24*(Calculations!$E24-1)+Calculations!$D24,0))</f>
        <v>338.1560283687943</v>
      </c>
      <c r="T84" s="46">
        <f>IF(Calculations!$E24&gt;COUNT(Output!$B$35:T$35),Calculations!$B24,IF(Calculations!$E24=COUNT(Output!$B$35:T$35),Inputs!$B57-Calculations!$C24*(Calculations!$E24-1)+Calculations!$D24,0))</f>
        <v>338.1560283687943</v>
      </c>
      <c r="U84" s="46">
        <f>IF(Calculations!$E24&gt;COUNT(Output!$B$35:U$35),Calculations!$B24,IF(Calculations!$E24=COUNT(Output!$B$35:U$35),Inputs!$B57-Calculations!$C24*(Calculations!$E24-1)+Calculations!$D24,0))</f>
        <v>338.1560283687943</v>
      </c>
      <c r="V84" s="46">
        <f>IF(Calculations!$E24&gt;COUNT(Output!$B$35:V$35),Calculations!$B24,IF(Calculations!$E24=COUNT(Output!$B$35:V$35),Inputs!$B57-Calculations!$C24*(Calculations!$E24-1)+Calculations!$D24,0))</f>
        <v>338.1560283687943</v>
      </c>
      <c r="W84" s="46">
        <f>IF(Calculations!$E24&gt;COUNT(Output!$B$35:W$35),Calculations!$B24,IF(Calculations!$E24=COUNT(Output!$B$35:W$35),Inputs!$B57-Calculations!$C24*(Calculations!$E24-1)+Calculations!$D24,0))</f>
        <v>338.1560283687943</v>
      </c>
      <c r="X84" s="46">
        <f>IF(Calculations!$E24&gt;COUNT(Output!$B$35:X$35),Calculations!$B24,IF(Calculations!$E24=COUNT(Output!$B$35:X$35),Inputs!$B57-Calculations!$C24*(Calculations!$E24-1)+Calculations!$D24,0))</f>
        <v>338.1560283687943</v>
      </c>
      <c r="Y84" s="46">
        <f>IF(Calculations!$E24&gt;COUNT(Output!$B$35:Y$35),Calculations!$B24,IF(Calculations!$E24=COUNT(Output!$B$35:Y$35),Inputs!$B57-Calculations!$C24*(Calculations!$E24-1)+Calculations!$D24,0))</f>
        <v>338.1560283687943</v>
      </c>
      <c r="Z84" s="46">
        <f>SUMIF($B$13:$Y$13,"Yes",B84:Y84)</f>
        <v>8115.744680851059</v>
      </c>
      <c r="AA84" s="46">
        <f>SUM(B84:M84)</f>
        <v>4057.872340425531</v>
      </c>
      <c r="AB84" s="46">
        <f>SUM(B84:Y84)</f>
        <v>8115.744680851059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96877.96492561192</v>
      </c>
      <c r="C88" s="19">
        <f>SUM(C72:C82,C66,C60,C54,C48,C42,C36)</f>
        <v>96877.96492561192</v>
      </c>
      <c r="D88" s="19">
        <f>SUM(D72:D82,D66,D60,D54,D48,D42,D36)</f>
        <v>96877.96492561192</v>
      </c>
      <c r="E88" s="19">
        <f>SUM(E72:E82,E66,E60,E54,E48,E42,E36)</f>
        <v>96877.96492561192</v>
      </c>
      <c r="F88" s="19">
        <f>SUM(F72:F82,F66,F60,F54,F48,F42,F36)</f>
        <v>96877.96492561192</v>
      </c>
      <c r="G88" s="19">
        <f>SUM(G72:G82,G66,G60,G54,G48,G42,G36)</f>
        <v>96877.96492561192</v>
      </c>
      <c r="H88" s="19">
        <f>SUM(H72:H82,H66,H60,H54,H48,H42,H36)</f>
        <v>96877.96492561192</v>
      </c>
      <c r="I88" s="19">
        <f>SUM(I72:I82,I66,I60,I54,I48,I42,I36)</f>
        <v>96877.96492561192</v>
      </c>
      <c r="J88" s="19">
        <f>SUM(J72:J82,J66,J60,J54,J48,J42,J36)</f>
        <v>96877.96492561192</v>
      </c>
      <c r="K88" s="19">
        <f>SUM(K72:K82,K66,K60,K54,K48,K42,K36)</f>
        <v>96877.96492561192</v>
      </c>
      <c r="L88" s="19">
        <f>SUM(L72:L82,L66,L60,L54,L48,L42,L36)</f>
        <v>96877.96492561192</v>
      </c>
      <c r="M88" s="19">
        <f>SUM(M72:M82,M66,M60,M54,M48,M42,M36)</f>
        <v>96877.96492561192</v>
      </c>
      <c r="N88" s="19">
        <f>SUM(N72:N82,N66,N60,N54,N48,N42,N36)</f>
        <v>96877.96492561192</v>
      </c>
      <c r="O88" s="19">
        <f>SUM(O72:O82,O66,O60,O54,O48,O42,O36)</f>
        <v>96877.96492561192</v>
      </c>
      <c r="P88" s="19">
        <f>SUM(P72:P82,P66,P60,P54,P48,P42,P36)</f>
        <v>96877.96492561192</v>
      </c>
      <c r="Q88" s="19">
        <f>SUM(Q72:Q82,Q66,Q60,Q54,Q48,Q42,Q36)</f>
        <v>96877.96492561192</v>
      </c>
      <c r="R88" s="19">
        <f>SUM(R72:R82,R66,R60,R54,R48,R42,R36)</f>
        <v>96877.96492561192</v>
      </c>
      <c r="S88" s="19">
        <f>SUM(S72:S82,S66,S60,S54,S48,S42,S36)</f>
        <v>96877.96492561192</v>
      </c>
      <c r="T88" s="19">
        <f>SUM(T72:T82,T66,T60,T54,T48,T42,T36)</f>
        <v>96877.96492561192</v>
      </c>
      <c r="U88" s="19">
        <f>SUM(U72:U82,U66,U60,U54,U48,U42,U36)</f>
        <v>96877.96492561192</v>
      </c>
      <c r="V88" s="19">
        <f>SUM(V72:V82,V66,V60,V54,V48,V42,V36)</f>
        <v>96877.96492561192</v>
      </c>
      <c r="W88" s="19">
        <f>SUM(W72:W82,W66,W60,W54,W48,W42,W36)</f>
        <v>96877.96492561192</v>
      </c>
      <c r="X88" s="19">
        <f>SUM(X72:X82,X66,X60,X54,X48,X42,X36)</f>
        <v>96877.96492561192</v>
      </c>
      <c r="Y88" s="19">
        <f>SUM(Y72:Y82,Y66,Y60,Y54,Y48,Y42,Y36)</f>
        <v>96877.96492561192</v>
      </c>
      <c r="Z88" s="19">
        <f>SUMIF($B$13:$Y$13,"Yes",B88:Y88)</f>
        <v>2325071.158214685</v>
      </c>
      <c r="AA88" s="19">
        <f>SUM(B88:M88)</f>
        <v>1162535.579107343</v>
      </c>
      <c r="AB88" s="19">
        <f>SUM(B88:Y88)</f>
        <v>2325071.158214685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35000</v>
      </c>
    </row>
    <row r="95" spans="1:30">
      <c r="A95" t="s">
        <v>61</v>
      </c>
      <c r="B95" s="36">
        <f>Inputs!B47</f>
        <v>460000</v>
      </c>
    </row>
    <row r="96" spans="1:30">
      <c r="A96" t="s">
        <v>62</v>
      </c>
      <c r="B96" s="36">
        <f>SUMPRODUCT(Inputs!C19:C21,Calculations!O14:O16)</f>
        <v>1315000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3560000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8600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318600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500</v>
      </c>
      <c r="D19" s="145">
        <v>0</v>
      </c>
      <c r="E19" s="20"/>
      <c r="F19" s="145" t="s">
        <v>103</v>
      </c>
      <c r="G19" s="20"/>
      <c r="H19" s="20"/>
      <c r="I19" s="145" t="s">
        <v>104</v>
      </c>
      <c r="J19" s="145">
        <v>0</v>
      </c>
      <c r="K19" s="145">
        <v>0</v>
      </c>
      <c r="L19" s="25">
        <v>1</v>
      </c>
    </row>
    <row r="20" spans="1:48">
      <c r="A20" s="143" t="s">
        <v>105</v>
      </c>
      <c r="B20" s="16"/>
      <c r="C20" s="143">
        <v>200</v>
      </c>
      <c r="D20" s="147"/>
      <c r="E20" s="16"/>
      <c r="F20" s="147" t="s">
        <v>106</v>
      </c>
      <c r="G20" s="16"/>
      <c r="H20" s="16"/>
      <c r="I20" s="147" t="s">
        <v>104</v>
      </c>
      <c r="J20" s="147"/>
      <c r="K20" s="147"/>
      <c r="L20" s="30"/>
    </row>
    <row r="21" spans="1:48">
      <c r="A21" s="144" t="s">
        <v>107</v>
      </c>
      <c r="B21" s="23"/>
      <c r="C21" s="144">
        <v>5</v>
      </c>
      <c r="D21" s="150">
        <v>5</v>
      </c>
      <c r="E21" s="23"/>
      <c r="F21" s="150" t="s">
        <v>103</v>
      </c>
      <c r="G21" s="23"/>
      <c r="H21" s="23"/>
      <c r="I21" s="150" t="s">
        <v>104</v>
      </c>
      <c r="J21" s="150">
        <v>5</v>
      </c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5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10000</v>
      </c>
    </row>
    <row r="31" spans="1:48">
      <c r="A31" s="5" t="s">
        <v>114</v>
      </c>
      <c r="B31" s="158">
        <v>1500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103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103</v>
      </c>
    </row>
    <row r="45" spans="1:48">
      <c r="A45" s="56" t="s">
        <v>127</v>
      </c>
      <c r="B45" s="161">
        <v>0</v>
      </c>
    </row>
    <row r="46" spans="1:48" customHeight="1" ht="30">
      <c r="A46" s="57" t="s">
        <v>128</v>
      </c>
      <c r="B46" s="161">
        <v>250000</v>
      </c>
    </row>
    <row r="47" spans="1:48" customHeight="1" ht="30">
      <c r="A47" s="57" t="s">
        <v>129</v>
      </c>
      <c r="B47" s="161">
        <v>460000</v>
      </c>
    </row>
    <row r="48" spans="1:48" customHeight="1" ht="30">
      <c r="A48" s="57" t="s">
        <v>130</v>
      </c>
      <c r="B48" s="161">
        <v>1500000</v>
      </c>
    </row>
    <row r="49" spans="1:48" customHeight="1" ht="30">
      <c r="A49" s="57" t="s">
        <v>131</v>
      </c>
      <c r="B49" s="161">
        <v>35000</v>
      </c>
    </row>
    <row r="50" spans="1:48">
      <c r="A50" s="43"/>
      <c r="B50" s="36"/>
    </row>
    <row r="51" spans="1:48">
      <c r="A51" s="58" t="s">
        <v>132</v>
      </c>
      <c r="B51" s="161">
        <v>10000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200000</v>
      </c>
      <c r="B56" s="159">
        <v>0</v>
      </c>
      <c r="C56" s="162" t="s">
        <v>140</v>
      </c>
      <c r="D56" s="163" t="s">
        <v>141</v>
      </c>
      <c r="E56" s="163" t="s">
        <v>106</v>
      </c>
      <c r="F56" s="163" t="s">
        <v>142</v>
      </c>
    </row>
    <row r="57" spans="1:48">
      <c r="A57" s="157">
        <v>8000</v>
      </c>
      <c r="B57" s="157">
        <v>8600</v>
      </c>
      <c r="C57" s="164" t="s">
        <v>143</v>
      </c>
      <c r="D57" s="165" t="s">
        <v>144</v>
      </c>
      <c r="E57" s="165" t="s">
        <v>103</v>
      </c>
      <c r="F57" s="165" t="s">
        <v>145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147</v>
      </c>
      <c r="C65" s="10" t="s">
        <v>148</v>
      </c>
    </row>
    <row r="66" spans="1:48">
      <c r="A66" s="142" t="s">
        <v>149</v>
      </c>
      <c r="B66" s="159">
        <v>386400</v>
      </c>
      <c r="C66" s="163">
        <v>289500</v>
      </c>
      <c r="D66" s="49">
        <f>INDEX(Parameters!$D$79:$D$90,MATCH(Inputs!A66,Parameters!$C$79:$C$90,0))</f>
        <v>2</v>
      </c>
    </row>
    <row r="67" spans="1:48">
      <c r="A67" s="143" t="s">
        <v>150</v>
      </c>
      <c r="B67" s="157">
        <v>201400</v>
      </c>
      <c r="C67" s="165">
        <v>174200</v>
      </c>
      <c r="D67" s="49">
        <f>INDEX(Parameters!$D$79:$D$90,MATCH(Inputs!A67,Parameters!$C$79:$C$90,0))</f>
        <v>1</v>
      </c>
    </row>
    <row r="68" spans="1:48">
      <c r="A68" s="143" t="s">
        <v>151</v>
      </c>
      <c r="B68" s="157">
        <v>285400</v>
      </c>
      <c r="C68" s="165">
        <v>210500</v>
      </c>
      <c r="D68" s="49">
        <f>INDEX(Parameters!$D$79:$D$90,MATCH(Inputs!A68,Parameters!$C$79:$C$90,0))</f>
        <v>12</v>
      </c>
    </row>
    <row r="69" spans="1:48">
      <c r="A69" s="143" t="s">
        <v>152</v>
      </c>
      <c r="B69" s="157">
        <v>178500</v>
      </c>
      <c r="C69" s="165">
        <v>122400</v>
      </c>
      <c r="D69" s="49">
        <f>INDEX(Parameters!$D$79:$D$90,MATCH(Inputs!A69,Parameters!$C$79:$C$90,0))</f>
        <v>11</v>
      </c>
    </row>
    <row r="70" spans="1:48">
      <c r="A70" s="143" t="s">
        <v>153</v>
      </c>
      <c r="B70" s="157">
        <v>155600</v>
      </c>
      <c r="C70" s="165">
        <v>98400</v>
      </c>
      <c r="D70" s="49">
        <f>INDEX(Parameters!$D$79:$D$90,MATCH(Inputs!A70,Parameters!$C$79:$C$90,0))</f>
        <v>10</v>
      </c>
    </row>
    <row r="71" spans="1:48">
      <c r="A71" s="144" t="s">
        <v>154</v>
      </c>
      <c r="B71" s="158">
        <v>361900</v>
      </c>
      <c r="C71" s="167">
        <v>285400</v>
      </c>
      <c r="D71" s="49">
        <f>INDEX(Parameters!$D$79:$D$90,MATCH(Inputs!A71,Parameters!$C$79:$C$90,0))</f>
        <v>9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13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300000</v>
      </c>
    </row>
    <row r="82" spans="1:48">
      <c r="A82" t="s">
        <v>164</v>
      </c>
      <c r="B82" s="161">
        <v>18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24</v>
      </c>
    </row>
    <row r="86" spans="1:48">
      <c r="A86" t="s">
        <v>169</v>
      </c>
      <c r="B86" s="161">
        <v>5</v>
      </c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42767</v>
      </c>
      <c r="AD3" s="59">
        <f>Output!C5</f>
        <v>42795</v>
      </c>
      <c r="AE3" s="59">
        <f>Output!D5</f>
        <v>42826</v>
      </c>
      <c r="AF3" s="59">
        <f>Output!E5</f>
        <v>42856</v>
      </c>
      <c r="AG3" s="59">
        <f>Output!F5</f>
        <v>42887</v>
      </c>
      <c r="AH3" s="59">
        <f>Output!G5</f>
        <v>42917</v>
      </c>
      <c r="AI3" s="59">
        <f>Output!H5</f>
        <v>42948</v>
      </c>
      <c r="AJ3" s="59">
        <f>Output!I5</f>
        <v>42979</v>
      </c>
      <c r="AK3" s="59">
        <f>Output!J5</f>
        <v>43009</v>
      </c>
      <c r="AL3" s="59">
        <f>Output!K5</f>
        <v>43040</v>
      </c>
      <c r="AM3" s="59">
        <f>Output!L5</f>
        <v>43070</v>
      </c>
      <c r="AN3" s="59">
        <f>Output!M5</f>
        <v>43101</v>
      </c>
      <c r="AO3" s="59">
        <f>Output!N5</f>
        <v>43132</v>
      </c>
      <c r="AP3" s="59">
        <f>Output!O5</f>
        <v>43160</v>
      </c>
      <c r="AQ3" s="59">
        <f>Output!P5</f>
        <v>43191</v>
      </c>
      <c r="AR3" s="59">
        <f>Output!Q5</f>
        <v>43221</v>
      </c>
      <c r="AS3" s="59">
        <f>Output!R5</f>
        <v>43252</v>
      </c>
      <c r="AT3" s="59">
        <f>Output!S5</f>
        <v>43282</v>
      </c>
      <c r="AU3" s="59">
        <f>Output!T5</f>
        <v>43313</v>
      </c>
      <c r="AV3" s="59">
        <f>Output!U5</f>
        <v>43344</v>
      </c>
      <c r="AW3" s="59">
        <f>Output!V5</f>
        <v>43374</v>
      </c>
      <c r="AX3" s="59">
        <f>Output!W5</f>
        <v>43405</v>
      </c>
      <c r="AY3" s="59">
        <f>Output!X5</f>
        <v>43435</v>
      </c>
      <c r="AZ3" s="59">
        <f>Output!Y5</f>
        <v>43466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500</v>
      </c>
      <c r="E14" s="16">
        <f>Inputs!D19</f>
        <v>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182500</v>
      </c>
      <c r="R14" s="63">
        <f>IFERROR(D14*INDEX(Parameters!$A$22:$P$29,MATCH(Calculations!$A14,Parameters!$A$22:$A$29,0),MATCH(Parameters!$M$22,Parameters!$A$22:$P$22,0)),"")</f>
        <v>4266.666666666667</v>
      </c>
      <c r="S14" s="63">
        <f>IFERROR(D14*INDEX(Parameters!$A$22:$P$29,MATCH(Calculations!$A14,Parameters!$A$22:$A$29,0),MATCH(Parameters!$N$22,Parameters!$A$22:$P$22,0)),"")</f>
        <v>34304.51127819548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200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</v>
      </c>
      <c r="H15" s="121">
        <f>IFERROR(IF(B15="meat",INDEX(Parameters!$A$22:$P$29,MATCH(Calculations!A15,Parameters!$A$22:$A$29,0),MATCH(Parameters!$I$22,Parameters!$A$22:$P$22,0))*G15,""),"")</f>
        <v>1.1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450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792000.0000000001</v>
      </c>
      <c r="Q15" s="64">
        <f>IFERROR(D15*INDEX(Parameters!$A$22:$P$29,MATCH(Calculations!$A15,Parameters!$A$22:$A$29,0),MATCH(Parameters!$L$22,Parameters!$A$22:$P$22,0))*IF(Inputs!I20="Always",1,IF(Inputs!I20="Sometimes",0.5,0))*365,"")</f>
        <v>73000</v>
      </c>
      <c r="R15" s="64">
        <f>IFERROR(D15*INDEX(Parameters!$A$22:$P$29,MATCH(Calculations!$A15,Parameters!$A$22:$A$29,0),MATCH(Parameters!$M$22,Parameters!$A$22:$P$22,0)),"")</f>
        <v>9600</v>
      </c>
      <c r="S15" s="64">
        <f>IFERROR(D15*INDEX(Parameters!$A$22:$P$29,MATCH(Calculations!$A15,Parameters!$A$22:$A$29,0),MATCH(Parameters!$N$22,Parameters!$A$22:$P$22,0)),"")</f>
        <v>8000</v>
      </c>
    </row>
    <row r="16" spans="1:52">
      <c r="A16" s="16" t="str">
        <f>Inputs!A21</f>
        <v>Cows_dairy</v>
      </c>
      <c r="B16" s="16" t="str">
        <f>IFERROR(VLOOKUP(A16,Parameters!$A$23:$B$30,2,0),"")</f>
        <v>milk</v>
      </c>
      <c r="C16" s="16" t="str">
        <f>IF(Inputs!A21=Parameters!$A$30,Inputs!B21,A16&amp;": "&amp;B16)</f>
        <v>Cows_dairy: milk</v>
      </c>
      <c r="D16" s="16">
        <f>Inputs!C21</f>
        <v>5</v>
      </c>
      <c r="E16" s="16">
        <f>Inputs!D21</f>
        <v>5</v>
      </c>
      <c r="F16" s="43">
        <f>IFERROR(INDEX(Parameters!$A$22:$P$29,MATCH(Calculations!$A16,Parameters!$A$22:$A$29,0),MATCH(Parameters!$P$22,Parameters!$A$22:$P$22,0)),"")</f>
        <v>60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8.333333333333334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25</v>
      </c>
      <c r="K16" s="46">
        <f>IFERROR(INDEX(Parameters!$A$22:$P$29,MATCH(Calculations!$A16,Parameters!$A$22:$A$29,0),MATCH(Parameters!$H$22,Parameters!$A$22:$P$22,0)),"")</f>
        <v>30</v>
      </c>
      <c r="L16" s="171"/>
      <c r="M16" s="22">
        <f>Inputs!J21/100</f>
        <v>0.05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1300312.5</v>
      </c>
      <c r="Q16" s="64">
        <f>IFERROR(D16*INDEX(Parameters!$A$22:$P$29,MATCH(Calculations!$A16,Parameters!$A$22:$A$29,0),MATCH(Parameters!$L$22,Parameters!$A$22:$P$22,0))*IF(Inputs!I21="Always",1,IF(Inputs!I21="Sometimes",0.5,0))*365,"")</f>
        <v>91250</v>
      </c>
      <c r="R16" s="64">
        <f>IFERROR(D16*INDEX(Parameters!$A$22:$P$29,MATCH(Calculations!$A16,Parameters!$A$22:$A$29,0),MATCH(Parameters!$M$22,Parameters!$A$22:$P$22,0)),"")</f>
        <v>5000</v>
      </c>
      <c r="S16" s="64">
        <f>IFERROR(D16*INDEX(Parameters!$A$22:$P$29,MATCH(Calculations!$A16,Parameters!$A$22:$A$29,0),MATCH(Parameters!$N$22,Parameters!$A$22:$P$22,0)),"")</f>
        <v>30000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43282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87500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200000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8000</v>
      </c>
      <c r="B24" s="46">
        <f>SUM(C24:D24)</f>
        <v>338.1560283687943</v>
      </c>
      <c r="C24" s="46">
        <f>IF(Inputs!B57&gt;0,(Inputs!A57-Inputs!B57)/(DATE(YEAR(Inputs!$B$76),MONTH(Inputs!$B$76),DAY(Inputs!$B$76))-DATE(YEAR(Inputs!C57),MONTH(Inputs!C57),DAY(Inputs!C57)))*30,0)</f>
        <v>191.4893617021277</v>
      </c>
      <c r="D24" s="46">
        <f>IF(Inputs!B57&gt;0,Inputs!A57*0.22/12,0)</f>
        <v>146.6666666666667</v>
      </c>
      <c r="E24" s="46">
        <f>IFERROR(ROUNDUP(Inputs!B57/B24,0),0)</f>
        <v>26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42822</v>
      </c>
      <c r="C33" s="27">
        <f>IF(B33&lt;&gt;"",IF(COUNT($A$33:A33)&lt;=$G$39,0,$G$41)+IF(COUNT($A$33:A33)&lt;=$G$40,0,$G$42),0)</f>
        <v>4500</v>
      </c>
      <c r="D33" s="170">
        <f>IFERROR(DATE(YEAR(B33),MONTH(B33),1)," ")</f>
        <v>42795</v>
      </c>
      <c r="F33" t="s">
        <v>160</v>
      </c>
      <c r="G33" s="128">
        <f>IF(Inputs!B79="","",DATE(YEAR(Inputs!B79),MONTH(Inputs!B79),DAY(Inputs!B79)))</f>
        <v>42794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42853</v>
      </c>
      <c r="C34" s="27">
        <f>IF(B34&lt;&gt;"",IF(COUNT($A$33:A34)&lt;=$G$39,0,$G$41)+IF(COUNT($A$33:A34)&lt;=$G$40,0,$G$42),0)</f>
        <v>4500</v>
      </c>
      <c r="D34" s="170">
        <f>IFERROR(DATE(YEAR(B34),MONTH(B34),1)," ")</f>
        <v>42826</v>
      </c>
      <c r="F34" t="s">
        <v>161</v>
      </c>
      <c r="G34" s="128">
        <f>IF(Inputs!B80="","",DATE(YEAR(Inputs!B80),MONTH(Inputs!B80),DAY(Inputs!B80)))</f>
        <v>42822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42883</v>
      </c>
      <c r="C35" s="27">
        <f>IF(B35&lt;&gt;"",IF(COUNT($A$33:A35)&lt;=$G$39,0,$G$41)+IF(COUNT($A$33:A35)&lt;=$G$40,0,$G$42),0)</f>
        <v>4500</v>
      </c>
      <c r="D35" s="170">
        <f>IFERROR(DATE(YEAR(B35),MONTH(B35),1)," ")</f>
        <v>42856</v>
      </c>
      <c r="F35" t="s">
        <v>163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42914</v>
      </c>
      <c r="C36" s="27">
        <f>IF(B36&lt;&gt;"",IF(COUNT($A$33:A36)&lt;=$G$39,0,$G$41)+IF(COUNT($A$33:A36)&lt;=$G$40,0,$G$42),0)</f>
        <v>4500</v>
      </c>
      <c r="D36" s="170">
        <f>IFERROR(DATE(YEAR(B36),MONTH(B36),1)," ")</f>
        <v>42887</v>
      </c>
      <c r="F36" t="s">
        <v>164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42944</v>
      </c>
      <c r="C37" s="27">
        <f>IF(B37&lt;&gt;"",IF(COUNT($A$33:A37)&lt;=$G$39,0,$G$41)+IF(COUNT($A$33:A37)&lt;=$G$40,0,$G$42),0)</f>
        <v>4500</v>
      </c>
      <c r="D37" s="170">
        <f>IFERROR(DATE(YEAR(B37),MONTH(B37),1)," ")</f>
        <v>42917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42975</v>
      </c>
      <c r="C38" s="27">
        <f>IF(B38&lt;&gt;"",IF(COUNT($A$33:A38)&lt;=$G$39,0,$G$41)+IF(COUNT($A$33:A38)&lt;=$G$40,0,$G$42),0)</f>
        <v>20289.47368421053</v>
      </c>
      <c r="D38" s="170">
        <f>IFERROR(DATE(YEAR(B38),MONTH(B38),1)," ")</f>
        <v>42948</v>
      </c>
      <c r="F38" t="s">
        <v>226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43006</v>
      </c>
      <c r="C39" s="27">
        <f>IF(B39&lt;&gt;"",IF(COUNT($A$33:A39)&lt;=$G$39,0,$G$41)+IF(COUNT($A$33:A39)&lt;=$G$40,0,$G$42),0)</f>
        <v>20289.47368421053</v>
      </c>
      <c r="D39" s="170">
        <f>IFERROR(DATE(YEAR(B39),MONTH(B39),1)," ")</f>
        <v>42979</v>
      </c>
      <c r="F39" t="s">
        <v>169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43036</v>
      </c>
      <c r="C40" s="27">
        <f>IF(B40&lt;&gt;"",IF(COUNT($A$33:A40)&lt;=$G$39,0,$G$41)+IF(COUNT($A$33:A40)&lt;=$G$40,0,$G$42),0)</f>
        <v>20289.47368421053</v>
      </c>
      <c r="D40" s="170">
        <f>IFERROR(DATE(YEAR(B40),MONTH(B40),1)," ")</f>
        <v>43009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43067</v>
      </c>
      <c r="C41" s="27">
        <f>IF(B41&lt;&gt;"",IF(COUNT($A$33:A41)&lt;=$G$39,0,$G$41)+IF(COUNT($A$33:A41)&lt;=$G$40,0,$G$42),0)</f>
        <v>20289.47368421053</v>
      </c>
      <c r="D41" s="170">
        <f>IFERROR(DATE(YEAR(B41),MONTH(B41),1)," ")</f>
        <v>43040</v>
      </c>
      <c r="F41" t="s">
        <v>227</v>
      </c>
      <c r="G41" s="73">
        <f>IFERROR(G35/(G38-G39),"")</f>
        <v>15789.47368421053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43097</v>
      </c>
      <c r="C42" s="27">
        <f>IF(B42&lt;&gt;"",IF(COUNT($A$33:A42)&lt;=$G$39,0,$G$41)+IF(COUNT($A$33:A42)&lt;=$G$40,0,$G$42),0)</f>
        <v>20289.47368421053</v>
      </c>
      <c r="D42" s="170">
        <f>IFERROR(DATE(YEAR(B42),MONTH(B42),1)," ")</f>
        <v>43070</v>
      </c>
      <c r="F42" t="s">
        <v>228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43128</v>
      </c>
      <c r="C43" s="27">
        <f>IF(B43&lt;&gt;"",IF(COUNT($A$33:A43)&lt;=$G$39,0,$G$41)+IF(COUNT($A$33:A43)&lt;=$G$40,0,$G$42),0)</f>
        <v>20289.47368421053</v>
      </c>
      <c r="D43" s="170">
        <f>IFERROR(DATE(YEAR(B43),MONTH(B43),1)," ")</f>
        <v>43101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43159</v>
      </c>
      <c r="C44" s="27">
        <f>IF(B44&lt;&gt;"",IF(COUNT($A$33:A44)&lt;=$G$39,0,$G$41)+IF(COUNT($A$33:A44)&lt;=$G$40,0,$G$42),0)</f>
        <v>20289.47368421053</v>
      </c>
      <c r="D44" s="170">
        <f>IFERROR(DATE(YEAR(B44),MONTH(B44),1)," ")</f>
        <v>43132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43187</v>
      </c>
      <c r="C45" s="27">
        <f>IF(B45&lt;&gt;"",IF(COUNT($A$33:A45)&lt;=$G$39,0,$G$41)+IF(COUNT($A$33:A45)&lt;=$G$40,0,$G$42),0)</f>
        <v>20289.47368421053</v>
      </c>
      <c r="D45" s="170">
        <f>IFERROR(DATE(YEAR(B45),MONTH(B45),1)," ")</f>
        <v>43160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43218</v>
      </c>
      <c r="C46" s="27">
        <f>IF(B46&lt;&gt;"",IF(COUNT($A$33:A46)&lt;=$G$39,0,$G$41)+IF(COUNT($A$33:A46)&lt;=$G$40,0,$G$42),0)</f>
        <v>20289.47368421053</v>
      </c>
      <c r="D46" s="170">
        <f>IFERROR(DATE(YEAR(B46),MONTH(B46),1)," ")</f>
        <v>43191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43248</v>
      </c>
      <c r="C47" s="27">
        <f>IF(B47&lt;&gt;"",IF(COUNT($A$33:A47)&lt;=$G$39,0,$G$41)+IF(COUNT($A$33:A47)&lt;=$G$40,0,$G$42),0)</f>
        <v>20289.47368421053</v>
      </c>
      <c r="D47" s="170">
        <f>IFERROR(DATE(YEAR(B47),MONTH(B47),1)," ")</f>
        <v>43221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43279</v>
      </c>
      <c r="C48" s="27">
        <f>IF(B48&lt;&gt;"",IF(COUNT($A$33:A48)&lt;=$G$39,0,$G$41)+IF(COUNT($A$33:A48)&lt;=$G$40,0,$G$42),0)</f>
        <v>20289.47368421053</v>
      </c>
      <c r="D48" s="170">
        <f>IFERROR(DATE(YEAR(B48),MONTH(B48),1)," ")</f>
        <v>43252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43309</v>
      </c>
      <c r="C49" s="27">
        <f>IF(B49&lt;&gt;"",IF(COUNT($A$33:A49)&lt;=$G$39,0,$G$41)+IF(COUNT($A$33:A49)&lt;=$G$40,0,$G$42),0)</f>
        <v>20289.47368421053</v>
      </c>
      <c r="D49" s="170">
        <f>IFERROR(DATE(YEAR(B49),MONTH(B49),1)," ")</f>
        <v>43282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43340</v>
      </c>
      <c r="C50" s="27">
        <f>IF(B50&lt;&gt;"",IF(COUNT($A$33:A50)&lt;=$G$39,0,$G$41)+IF(COUNT($A$33:A50)&lt;=$G$40,0,$G$42),0)</f>
        <v>20289.47368421053</v>
      </c>
      <c r="D50" s="170">
        <f>IFERROR(DATE(YEAR(B50),MONTH(B50),1)," ")</f>
        <v>43313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43371</v>
      </c>
      <c r="C51" s="27">
        <f>IF(B51&lt;&gt;"",IF(COUNT($A$33:A51)&lt;=$G$39,0,$G$41)+IF(COUNT($A$33:A51)&lt;=$G$40,0,$G$42),0)</f>
        <v>20289.47368421053</v>
      </c>
      <c r="D51" s="170">
        <f>IFERROR(DATE(YEAR(B51),MONTH(B51),1)," ")</f>
        <v>43344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43401</v>
      </c>
      <c r="C52" s="27">
        <f>IF(B52&lt;&gt;"",IF(COUNT($A$33:A52)&lt;=$G$39,0,$G$41)+IF(COUNT($A$33:A52)&lt;=$G$40,0,$G$42),0)</f>
        <v>20289.47368421053</v>
      </c>
      <c r="D52" s="170">
        <f>IFERROR(DATE(YEAR(B52),MONTH(B52),1)," ")</f>
        <v>43374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43432</v>
      </c>
      <c r="C53" s="27">
        <f>IF(B53&lt;&gt;"",IF(COUNT($A$33:A53)&lt;=$G$39,0,$G$41)+IF(COUNT($A$33:A53)&lt;=$G$40,0,$G$42),0)</f>
        <v>20289.47368421053</v>
      </c>
      <c r="D53" s="170">
        <f>IFERROR(DATE(YEAR(B53),MONTH(B53),1)," ")</f>
        <v>43405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43462</v>
      </c>
      <c r="C54" s="27">
        <f>IF(B54&lt;&gt;"",IF(COUNT($A$33:A54)&lt;=$G$39,0,$G$41)+IF(COUNT($A$33:A54)&lt;=$G$40,0,$G$42),0)</f>
        <v>20289.47368421053</v>
      </c>
      <c r="D54" s="170">
        <f>IFERROR(DATE(YEAR(B54),MONTH(B54),1)," ")</f>
        <v>43435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43493</v>
      </c>
      <c r="C55" s="27">
        <f>IF(B55&lt;&gt;"",IF(COUNT($A$33:A55)&lt;=$G$39,0,$G$41)+IF(COUNT($A$33:A55)&lt;=$G$40,0,$G$42),0)</f>
        <v>20289.47368421053</v>
      </c>
      <c r="D55" s="170">
        <f>IFERROR(DATE(YEAR(B55),MONTH(B55),1)," ")</f>
        <v>43466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43524</v>
      </c>
      <c r="C56" s="27">
        <f>IF(B56&lt;&gt;"",IF(COUNT($A$33:A56)&lt;=$G$39,0,$G$41)+IF(COUNT($A$33:A56)&lt;=$G$40,0,$G$42),0)</f>
        <v>20289.47368421053</v>
      </c>
      <c r="D56" s="170">
        <f>IFERROR(DATE(YEAR(B56),MONTH(B56),1)," ")</f>
        <v>43497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201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102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105</v>
      </c>
      <c r="B24" s="21" t="s">
        <v>296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296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296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90</v>
      </c>
      <c r="B41" s="191" t="s">
        <v>106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105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313</v>
      </c>
      <c r="H52" s="12" t="s">
        <v>125</v>
      </c>
      <c r="I52" s="12" t="s">
        <v>314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229</v>
      </c>
      <c r="E53" s="10" t="s">
        <v>188</v>
      </c>
      <c r="F53" s="10" t="s">
        <v>248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106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106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106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106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106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106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106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166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225</v>
      </c>
      <c r="J76" s="11" t="s">
        <v>347</v>
      </c>
      <c r="K76" s="11" t="s">
        <v>178</v>
      </c>
      <c r="AJ76" s="12"/>
    </row>
    <row r="77" spans="1:36">
      <c r="A77" t="s">
        <v>103</v>
      </c>
      <c r="B77" s="176">
        <v>0</v>
      </c>
      <c r="C77" s="12" t="s">
        <v>348</v>
      </c>
      <c r="E77" s="12" t="s">
        <v>106</v>
      </c>
      <c r="F77" s="12" t="s">
        <v>106</v>
      </c>
      <c r="G77" s="12" t="s">
        <v>349</v>
      </c>
      <c r="H77" s="12" t="s">
        <v>125</v>
      </c>
      <c r="I77" s="12" t="s">
        <v>350</v>
      </c>
      <c r="J77" s="136" t="s">
        <v>351</v>
      </c>
      <c r="K77" s="12" t="s">
        <v>106</v>
      </c>
      <c r="AJ77" s="12"/>
    </row>
    <row r="78" spans="1:36">
      <c r="A78" t="s">
        <v>106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314</v>
      </c>
      <c r="I78" s="12" t="s">
        <v>356</v>
      </c>
      <c r="J78" s="70" t="s">
        <v>357</v>
      </c>
      <c r="K78" s="12" t="s">
        <v>106</v>
      </c>
      <c r="AJ78" s="12"/>
    </row>
    <row r="79" spans="1:36">
      <c r="B79" s="176">
        <v>10</v>
      </c>
      <c r="C79" s="12" t="s">
        <v>150</v>
      </c>
      <c r="D79" s="12">
        <v>1</v>
      </c>
      <c r="E79" s="12" t="s">
        <v>358</v>
      </c>
      <c r="F79" s="12" t="s">
        <v>359</v>
      </c>
      <c r="G79" s="12" t="s">
        <v>104</v>
      </c>
      <c r="I79" s="12" t="s">
        <v>166</v>
      </c>
      <c r="J79" s="70" t="s">
        <v>360</v>
      </c>
      <c r="K79" s="12" t="s">
        <v>106</v>
      </c>
      <c r="AJ79" s="12"/>
    </row>
    <row r="80" spans="1:36">
      <c r="B80" s="176">
        <v>20</v>
      </c>
      <c r="C80" s="12" t="s">
        <v>149</v>
      </c>
      <c r="D80" s="12">
        <f>D79+1</f>
        <v>2</v>
      </c>
      <c r="E80" s="12" t="s">
        <v>361</v>
      </c>
      <c r="F80" s="12" t="s">
        <v>362</v>
      </c>
      <c r="J80" s="70" t="s">
        <v>363</v>
      </c>
      <c r="K80" s="12" t="s">
        <v>103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103</v>
      </c>
    </row>
    <row r="82" spans="1:36">
      <c r="B82" s="176">
        <v>40</v>
      </c>
      <c r="C82" s="12" t="s">
        <v>366</v>
      </c>
      <c r="D82" s="12">
        <f>D81+1</f>
        <v>4</v>
      </c>
      <c r="J82" s="70"/>
    </row>
    <row r="83" spans="1:36">
      <c r="B83" s="176">
        <v>50</v>
      </c>
      <c r="C83" s="12" t="s">
        <v>367</v>
      </c>
      <c r="D83" s="12">
        <f>D82+1</f>
        <v>5</v>
      </c>
    </row>
    <row r="84" spans="1:36">
      <c r="B84" s="176">
        <v>60</v>
      </c>
      <c r="C84" s="12" t="s">
        <v>368</v>
      </c>
      <c r="D84" s="12">
        <f>D83+1</f>
        <v>6</v>
      </c>
    </row>
    <row r="85" spans="1:36">
      <c r="B85" s="176">
        <v>70</v>
      </c>
      <c r="C85" s="12" t="s">
        <v>369</v>
      </c>
      <c r="D85" s="12">
        <f>D84+1</f>
        <v>7</v>
      </c>
    </row>
    <row r="86" spans="1:36">
      <c r="B86" s="176">
        <v>80</v>
      </c>
      <c r="C86" s="12" t="s">
        <v>370</v>
      </c>
      <c r="D86" s="12">
        <f>D85+1</f>
        <v>8</v>
      </c>
    </row>
    <row r="87" spans="1:36">
      <c r="B87" s="176">
        <v>89.99999999999999</v>
      </c>
      <c r="C87" s="12" t="s">
        <v>154</v>
      </c>
      <c r="D87" s="12">
        <f>D86+1</f>
        <v>9</v>
      </c>
    </row>
    <row r="88" spans="1:36">
      <c r="B88" s="176">
        <v>99.99999999999999</v>
      </c>
      <c r="C88" s="12" t="s">
        <v>153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151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