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<sst xmlns="http://schemas.openxmlformats.org/spreadsheetml/2006/main" uniqueCount="373">
  <si>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</si>
  <si>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</si>
  <si>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</si>
  <si>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</si>
  <si>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</si>
  <si>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</si>
  <si>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</si>
  <si>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</si>
  <si>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</si>
  <si>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</si>
  <si>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</si>
  <si>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</si>
  <si>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</si>
  <si>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</si>
  <si>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</si>
  <si>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</si>
  <si>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</si>
  <si>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</si>
  <si>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</si>
  <si>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</si>
  <si>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</si>
  <si>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</si>
  <si>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</si>
  <si>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</si>
  <si>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</si>
  <si>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</si>
  <si>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</si>
  <si>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</si>
  <si>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</si>
  <si>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</si>
  <si>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</si>
  <si>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</si>
  <si>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</si>
  <si>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</si>
  <si>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</si>
  <si>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</si>
  <si>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</si>
  <si>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</si>
  <si>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</si>
  <si>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</si>
  <si>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</si>
  <si>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</si>
  <si>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</si>
  <si>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</si>
  <si>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</si>
  <si>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</si>
  <si>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</si>
  <si>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</si>
  <si>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</si>
  <si>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</si>
  <si>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</si>
  <si>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</si>
  <si>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</si>
  <si>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</si>
  <si>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</si>
  <si>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</si>
  <si>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</si>
  <si>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</si>
  <si>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</si>
  <si>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</si>
  <si>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</si>
  <si>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</si>
  <si>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</si>
  <si>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</si>
  <si>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</si>
  <si>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</si>
  <si>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</si>
  <si>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</si>
  <si>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</si>
  <si>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</si>
  <si>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</si>
  <si>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</si>
  <si>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</si>
  <si>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</si>
  <si>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</si>
  <si>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</si>
  <si>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</si>
  <si>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</si>
  <si>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</si>
  <si>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</si>
  <si>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</si>
  <si>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</si>
  <si>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</si>
  <si>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</si>
  <si>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</si>
  <si>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</si>
  <si>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</si>
  <si>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</si>
  <si>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</si>
  <si>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</si>
  <si>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</si>
  <si>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</si>
  <si>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</si>
  <si>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</si>
  <si>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</si>
  <si>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</si>
  <si>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</si>
  <si>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</si>
  <si>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</si>
  <si>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</si>
  <si>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</si>
  <si>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</si>
  <si>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</si>
  <si>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</si>
  <si>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</si>
  <si>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</si>
  <si>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</si>
  <si>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</si>
  <si>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</si>
  <si>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</si>
  <si>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</si>
  <si>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</si>
  <si>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</si>
  <si>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fruit vending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</si>
  <si>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</si>
  <si>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</si>
  <si>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</si>
  <si>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</si>
  <si>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</si>
  <si>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</si>
  <si>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</si>
  <si>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</si>
  <si>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</si>
  <si>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</si>
  <si>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</si>
  <si>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</si>
  <si>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</si>
  <si>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</si>
  <si>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</si>
  <si>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</si>
  <si>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</si>
  <si>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</si>
  <si>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</si>
  <si>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</si>
  <si>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</si>
  <si>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</si>
  <si>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</si>
  <si>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</si>
  <si>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</si>
  <si>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</si>
  <si>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</si>
  <si>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</si>
  <si>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12/7/2016</t>
  </si>
  <si>
    <t>Kwft</t>
  </si>
  <si>
    <t>Timely repayment</t>
  </si>
  <si>
    <t>9/28/2015</t>
  </si>
  <si>
    <t>9/29/2016</t>
  </si>
  <si>
    <t>4/4/2016</t>
  </si>
  <si>
    <t>Musoni</t>
  </si>
  <si>
    <t>sent with wrong codes on two occassions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</si>
  <si>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</si>
  <si>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</si>
  <si>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</si>
  <si>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</si>
  <si>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</si>
  <si>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</si>
  <si>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</si>
  <si>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</si>
  <si>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</si>
  <si>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</si>
  <si>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</si>
  <si>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</si>
  <si>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2017/3/7</t>
  </si>
  <si>
    <t>Loan terms</t>
  </si>
  <si>
    <t>Expected disbursement date</t>
  </si>
  <si>
    <t>Expected first repayment date</t>
  </si>
  <si>
    <t>2017/4/7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</si>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</sst>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fruit vending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0.2256639735116721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0.0754324693042292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11030.76923076923</v>
      </c>
    </row>
    <row r="17" spans="1:7">
      <c r="B17" s="1" t="s">
        <v>11</v>
      </c>
      <c r="C17" s="36">
        <f>SUM(Output!B6:M6)</f>
        <v>332349.7315299825</v>
      </c>
    </row>
    <row r="18" spans="1:7">
      <c r="B18" s="1" t="s">
        <v>12</v>
      </c>
      <c r="C18" s="36">
        <f>MIN(Output!B6:M6)</f>
        <v>18289.42124767658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31855.81096083188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156250</v>
      </c>
    </row>
    <row r="25" spans="1:7">
      <c r="B25" s="1" t="s">
        <v>18</v>
      </c>
      <c r="C25" s="36">
        <f>MAX(Inputs!A56:A60)</f>
        <v>225000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24585.08890346294</v>
      </c>
      <c r="C6" s="51">
        <f>C30-C88</f>
        <v>24585.08890346294</v>
      </c>
      <c r="D6" s="51">
        <f>D30-D88</f>
        <v>24585.08890346294</v>
      </c>
      <c r="E6" s="51">
        <f>E30-E88</f>
        <v>24585.08890346294</v>
      </c>
      <c r="F6" s="51">
        <f>F30-F88</f>
        <v>24585.08890346294</v>
      </c>
      <c r="G6" s="51">
        <f>G30-G88</f>
        <v>18289.42124767658</v>
      </c>
      <c r="H6" s="51">
        <f>H30-H88</f>
        <v>31855.81096083188</v>
      </c>
      <c r="I6" s="51">
        <f>I30-I88</f>
        <v>31855.81096083188</v>
      </c>
      <c r="J6" s="51">
        <f>J30-J88</f>
        <v>31855.81096083188</v>
      </c>
      <c r="K6" s="51">
        <f>K30-K88</f>
        <v>31855.81096083188</v>
      </c>
      <c r="L6" s="51">
        <f>L30-L88</f>
        <v>31855.81096083188</v>
      </c>
      <c r="M6" s="51">
        <f>M30-M88</f>
        <v>31855.81096083188</v>
      </c>
      <c r="N6" s="51">
        <f>N30-N88</f>
        <v>31855.81096083188</v>
      </c>
      <c r="O6" s="51">
        <f>O30-O88</f>
        <v>31855.81096083188</v>
      </c>
      <c r="P6" s="51">
        <f>P30-P88</f>
        <v>31855.81096083188</v>
      </c>
      <c r="Q6" s="51">
        <f>Q30-Q88</f>
        <v>31855.81096083188</v>
      </c>
      <c r="R6" s="51">
        <f>R30-R88</f>
        <v>31855.81096083188</v>
      </c>
      <c r="S6" s="51">
        <f>S30-S88</f>
        <v>31855.81096083188</v>
      </c>
      <c r="T6" s="51">
        <f>T30-T88</f>
        <v>31855.81096083188</v>
      </c>
      <c r="U6" s="51">
        <f>U30-U88</f>
        <v>-39257.39658633794</v>
      </c>
      <c r="V6" s="51">
        <f>V30-V88</f>
        <v>40616.81725014005</v>
      </c>
      <c r="W6" s="51">
        <f>W30-W88</f>
        <v>40616.81725014005</v>
      </c>
      <c r="X6" s="51">
        <f>X30-X88</f>
        <v>40616.81725014005</v>
      </c>
      <c r="Y6" s="51">
        <f>Y30-Y88</f>
        <v>40616.81725014005</v>
      </c>
      <c r="Z6" s="51">
        <f>SUMIF($B$13:$Y$13,"Yes",B6:Y6)</f>
        <v>555340.4082558057</v>
      </c>
      <c r="AA6" s="51">
        <f>AA30-AA88</f>
        <v>332349.7315299825</v>
      </c>
      <c r="AB6" s="51">
        <f>AB30-AB88</f>
        <v>678550.2806700272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85000</v>
      </c>
      <c r="I7" s="80">
        <f>IF(ISERROR(VLOOKUP(MONTH(I5),Inputs!$D$66:$D$71,1,0)),"",INDEX(Inputs!$B$66:$B$71,MATCH(MONTH(Output!I5),Inputs!$D$66:$D$71,0))-INDEX(Inputs!$C$66:$C$71,MATCH(MONTH(Output!I5),Inputs!$D$66:$D$71,0)))</f>
        <v>57000</v>
      </c>
      <c r="J7" s="80">
        <f>IF(ISERROR(VLOOKUP(MONTH(J5),Inputs!$D$66:$D$71,1,0)),"",INDEX(Inputs!$B$66:$B$71,MATCH(MONTH(Output!J5),Inputs!$D$66:$D$71,0))-INDEX(Inputs!$C$66:$C$71,MATCH(MONTH(Output!J5),Inputs!$D$66:$D$71,0)))</f>
        <v>61000</v>
      </c>
      <c r="K7" s="80">
        <f>IF(ISERROR(VLOOKUP(MONTH(K5),Inputs!$D$66:$D$71,1,0)),"",INDEX(Inputs!$B$66:$B$71,MATCH(MONTH(Output!K5),Inputs!$D$66:$D$71,0))-INDEX(Inputs!$C$66:$C$71,MATCH(MONTH(Output!K5),Inputs!$D$66:$D$71,0)))</f>
        <v>68000</v>
      </c>
      <c r="L7" s="80">
        <f>IF(ISERROR(VLOOKUP(MONTH(L5),Inputs!$D$66:$D$71,1,0)),"",INDEX(Inputs!$B$66:$B$71,MATCH(MONTH(Output!L5),Inputs!$D$66:$D$71,0))-INDEX(Inputs!$C$66:$C$71,MATCH(MONTH(Output!L5),Inputs!$D$66:$D$71,0)))</f>
        <v>44000</v>
      </c>
      <c r="M7" s="80">
        <f>IF(ISERROR(VLOOKUP(MONTH(M5),Inputs!$D$66:$D$71,1,0)),"",INDEX(Inputs!$B$66:$B$71,MATCH(MONTH(Output!M5),Inputs!$D$66:$D$71,0))-INDEX(Inputs!$C$66:$C$71,MATCH(MONTH(Output!M5),Inputs!$D$66:$D$71,0)))</f>
        <v>68000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85000</v>
      </c>
      <c r="U7" s="80">
        <f>IF(ISERROR(VLOOKUP(MONTH(U5),Inputs!$D$66:$D$71,1,0)),"",INDEX(Inputs!$B$66:$B$71,MATCH(MONTH(Output!U5),Inputs!$D$66:$D$71,0))-INDEX(Inputs!$C$66:$C$71,MATCH(MONTH(Output!U5),Inputs!$D$66:$D$71,0)))</f>
        <v>57000</v>
      </c>
      <c r="V7" s="80">
        <f>IF(ISERROR(VLOOKUP(MONTH(V5),Inputs!$D$66:$D$71,1,0)),"",INDEX(Inputs!$B$66:$B$71,MATCH(MONTH(Output!V5),Inputs!$D$66:$D$71,0))-INDEX(Inputs!$C$66:$C$71,MATCH(MONTH(Output!V5),Inputs!$D$66:$D$71,0)))</f>
        <v>61000</v>
      </c>
      <c r="W7" s="80">
        <f>IF(ISERROR(VLOOKUP(MONTH(W5),Inputs!$D$66:$D$71,1,0)),"",INDEX(Inputs!$B$66:$B$71,MATCH(MONTH(Output!W5),Inputs!$D$66:$D$71,0))-INDEX(Inputs!$C$66:$C$71,MATCH(MONTH(Output!W5),Inputs!$D$66:$D$71,0)))</f>
        <v>68000</v>
      </c>
      <c r="X7" s="80">
        <f>IF(ISERROR(VLOOKUP(MONTH(X5),Inputs!$D$66:$D$71,1,0)),"",INDEX(Inputs!$B$66:$B$71,MATCH(MONTH(Output!X5),Inputs!$D$66:$D$71,0))-INDEX(Inputs!$C$66:$C$71,MATCH(MONTH(Output!X5),Inputs!$D$66:$D$71,0)))</f>
        <v>44000</v>
      </c>
      <c r="Y7" s="80">
        <f>IF(ISERROR(VLOOKUP(MONTH(Y5),Inputs!$D$66:$D$71,1,0)),"",INDEX(Inputs!$B$66:$B$71,MATCH(MONTH(Output!Y5),Inputs!$D$66:$D$71,0))-INDEX(Inputs!$C$66:$C$71,MATCH(MONTH(Output!Y5),Inputs!$D$66:$D$71,0)))</f>
        <v>68000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1800</v>
      </c>
      <c r="D10" s="37">
        <f>SUMPRODUCT((Calculations!$D$33:$D$84=Output!D5)+0,Calculations!$C$33:$C$84)</f>
        <v>1800</v>
      </c>
      <c r="E10" s="37">
        <f>SUMPRODUCT((Calculations!$D$33:$D$84=Output!E5)+0,Calculations!$C$33:$C$84)</f>
        <v>1800</v>
      </c>
      <c r="F10" s="37">
        <f>SUMPRODUCT((Calculations!$D$33:$D$84=Output!F5)+0,Calculations!$C$33:$C$84)</f>
        <v>1800</v>
      </c>
      <c r="G10" s="37">
        <f>SUMPRODUCT((Calculations!$D$33:$D$84=Output!G5)+0,Calculations!$C$33:$C$84)</f>
        <v>1800</v>
      </c>
      <c r="H10" s="37">
        <f>SUMPRODUCT((Calculations!$D$33:$D$84=Output!H5)+0,Calculations!$C$33:$C$84)</f>
        <v>11030.76923076923</v>
      </c>
      <c r="I10" s="37">
        <f>SUMPRODUCT((Calculations!$D$33:$D$84=Output!I5)+0,Calculations!$C$33:$C$84)</f>
        <v>11030.76923076923</v>
      </c>
      <c r="J10" s="37">
        <f>SUMPRODUCT((Calculations!$D$33:$D$84=Output!J5)+0,Calculations!$C$33:$C$84)</f>
        <v>11030.76923076923</v>
      </c>
      <c r="K10" s="37">
        <f>SUMPRODUCT((Calculations!$D$33:$D$84=Output!K5)+0,Calculations!$C$33:$C$84)</f>
        <v>11030.76923076923</v>
      </c>
      <c r="L10" s="37">
        <f>SUMPRODUCT((Calculations!$D$33:$D$84=Output!L5)+0,Calculations!$C$33:$C$84)</f>
        <v>11030.76923076923</v>
      </c>
      <c r="M10" s="37">
        <f>SUMPRODUCT((Calculations!$D$33:$D$84=Output!M5)+0,Calculations!$C$33:$C$84)</f>
        <v>11030.76923076923</v>
      </c>
      <c r="N10" s="37">
        <f>SUMPRODUCT((Calculations!$D$33:$D$84=Output!N5)+0,Calculations!$C$33:$C$84)</f>
        <v>11030.76923076923</v>
      </c>
      <c r="O10" s="37">
        <f>SUMPRODUCT((Calculations!$D$33:$D$84=Output!O5)+0,Calculations!$C$33:$C$84)</f>
        <v>11030.76923076923</v>
      </c>
      <c r="P10" s="37">
        <f>SUMPRODUCT((Calculations!$D$33:$D$84=Output!P5)+0,Calculations!$C$33:$C$84)</f>
        <v>11030.76923076923</v>
      </c>
      <c r="Q10" s="37">
        <f>SUMPRODUCT((Calculations!$D$33:$D$84=Output!Q5)+0,Calculations!$C$33:$C$84)</f>
        <v>11030.76923076923</v>
      </c>
      <c r="R10" s="37">
        <f>SUMPRODUCT((Calculations!$D$33:$D$84=Output!R5)+0,Calculations!$C$33:$C$84)</f>
        <v>11030.76923076923</v>
      </c>
      <c r="S10" s="37">
        <f>SUMPRODUCT((Calculations!$D$33:$D$84=Output!S5)+0,Calculations!$C$33:$C$84)</f>
        <v>11030.76923076923</v>
      </c>
      <c r="T10" s="37">
        <f>SUMPRODUCT((Calculations!$D$33:$D$84=Output!T5)+0,Calculations!$C$33:$C$84)</f>
        <v>11030.76923076923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152400</v>
      </c>
      <c r="AA10" s="37">
        <f>SUM(B10:M10)</f>
        <v>75184.61538461539</v>
      </c>
      <c r="AB10" s="37">
        <f>SUM(B10:Y10)</f>
        <v>152400</v>
      </c>
    </row>
    <row r="11" spans="1:30" customHeight="1" ht="15.75">
      <c r="A11" s="43" t="s">
        <v>31</v>
      </c>
      <c r="B11" s="80">
        <f>B6+B9-B10</f>
        <v>144585.0889034629</v>
      </c>
      <c r="C11" s="80">
        <f>C6+C9-C10</f>
        <v>22785.08890346294</v>
      </c>
      <c r="D11" s="80">
        <f>D6+D9-D10</f>
        <v>22785.08890346294</v>
      </c>
      <c r="E11" s="80">
        <f>E6+E9-E10</f>
        <v>22785.08890346294</v>
      </c>
      <c r="F11" s="80">
        <f>F6+F9-F10</f>
        <v>22785.08890346294</v>
      </c>
      <c r="G11" s="80">
        <f>G6+G9-G10</f>
        <v>16489.42124767658</v>
      </c>
      <c r="H11" s="80">
        <f>H6+H9-H10</f>
        <v>20825.04173006265</v>
      </c>
      <c r="I11" s="80">
        <f>I6+I9-I10</f>
        <v>20825.04173006265</v>
      </c>
      <c r="J11" s="80">
        <f>J6+J9-J10</f>
        <v>20825.04173006265</v>
      </c>
      <c r="K11" s="80">
        <f>K6+K9-K10</f>
        <v>20825.04173006265</v>
      </c>
      <c r="L11" s="80">
        <f>L6+L9-L10</f>
        <v>20825.04173006265</v>
      </c>
      <c r="M11" s="80">
        <f>M6+M9-M10</f>
        <v>20825.04173006265</v>
      </c>
      <c r="N11" s="80">
        <f>N6+N9-N10</f>
        <v>20825.04173006265</v>
      </c>
      <c r="O11" s="80">
        <f>O6+O9-O10</f>
        <v>20825.04173006265</v>
      </c>
      <c r="P11" s="80">
        <f>P6+P9-P10</f>
        <v>20825.04173006265</v>
      </c>
      <c r="Q11" s="80">
        <f>Q6+Q9-Q10</f>
        <v>20825.04173006265</v>
      </c>
      <c r="R11" s="80">
        <f>R6+R9-R10</f>
        <v>20825.04173006265</v>
      </c>
      <c r="S11" s="80">
        <f>S6+S9-S10</f>
        <v>20825.04173006265</v>
      </c>
      <c r="T11" s="80">
        <f>T6+T9-T10</f>
        <v>20825.04173006265</v>
      </c>
      <c r="U11" s="80">
        <f>U6+U9-U10</f>
        <v>-39257.39658633794</v>
      </c>
      <c r="V11" s="80">
        <f>V6+V9-V10</f>
        <v>40616.81725014005</v>
      </c>
      <c r="W11" s="80">
        <f>W6+W9-W10</f>
        <v>40616.81725014005</v>
      </c>
      <c r="X11" s="80">
        <f>X6+X9-X10</f>
        <v>40616.81725014005</v>
      </c>
      <c r="Y11" s="80">
        <f>Y6+Y9-Y10</f>
        <v>40616.81725014005</v>
      </c>
      <c r="Z11" s="85">
        <f>SUMIF($B$13:$Y$13,"Yes",B11:Y11)</f>
        <v>522940.4082558054</v>
      </c>
      <c r="AA11" s="80">
        <f>SUM(B11:M11)</f>
        <v>377165.116145367</v>
      </c>
      <c r="AB11" s="46">
        <f>SUM(B11:Y11)</f>
        <v>646150.2806700275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0.01064017324645921</v>
      </c>
      <c r="D12" s="82">
        <f>IF(D13="Yes",IF(SUM($B$10:D10)/(SUM($B$6:D6)+SUM($B$9:D9))&lt;0,999.99,SUM($B$10:D10)/(SUM($B$6:D6)+SUM($B$9:D9))),"")</f>
        <v>0.01858014009694517</v>
      </c>
      <c r="E12" s="82">
        <f>IF(E13="Yes",IF(SUM($B$10:E10)/(SUM($B$6:E6)+SUM($B$9:E9))&lt;0,999.99,SUM($B$10:E10)/(SUM($B$6:E6)+SUM($B$9:E9))),"")</f>
        <v>0.02473202896834257</v>
      </c>
      <c r="F12" s="82">
        <f>IF(F13="Yes",IF(SUM($B$10:F10)/(SUM($B$6:F6)+SUM($B$9:F9))&lt;0,999.99,SUM($B$10:F10)/(SUM($B$6:F6)+SUM($B$9:F9))),"")</f>
        <v>0.02963872316589222</v>
      </c>
      <c r="G12" s="82">
        <f>IF(G13="Yes",IF(SUM($B$10:G10)/(SUM($B$6:G6)+SUM($B$9:G9))&lt;0,999.99,SUM($B$10:G10)/(SUM($B$6:G6)+SUM($B$9:G9))),"")</f>
        <v>0.03445439436856968</v>
      </c>
      <c r="H12" s="82">
        <f>IF(H13="Yes",IF(SUM($B$10:H10)/(SUM($B$6:H6)+SUM($B$9:H9))&lt;0,999.99,SUM($B$10:H10)/(SUM($B$6:H6)+SUM($B$9:H9))),"")</f>
        <v>0.06834791339260682</v>
      </c>
      <c r="I12" s="82">
        <f>IF(I13="Yes",IF(SUM($B$10:I10)/(SUM($B$6:I6)+SUM($B$9:I9))&lt;0,999.99,SUM($B$10:I10)/(SUM($B$6:I6)+SUM($B$9:I9))),"")</f>
        <v>0.09559558742866435</v>
      </c>
      <c r="J12" s="82">
        <f>IF(J13="Yes",IF(SUM($B$10:J10)/(SUM($B$6:J6)+SUM($B$9:J9))&lt;0,999.99,SUM($B$10:J10)/(SUM($B$6:J6)+SUM($B$9:J9))),"")</f>
        <v>0.1179775674182096</v>
      </c>
      <c r="K12" s="82">
        <f>IF(K13="Yes",IF(SUM($B$10:K10)/(SUM($B$6:K6)+SUM($B$9:K9))&lt;0,999.99,SUM($B$10:K10)/(SUM($B$6:K6)+SUM($B$9:K9))),"")</f>
        <v>0.1366903440751499</v>
      </c>
      <c r="L12" s="82">
        <f>IF(L13="Yes",IF(SUM($B$10:L10)/(SUM($B$6:L6)+SUM($B$9:L9))&lt;0,999.99,SUM($B$10:L10)/(SUM($B$6:L6)+SUM($B$9:L9))),"")</f>
        <v>0.1525678327691684</v>
      </c>
      <c r="M12" s="82">
        <f>IF(M13="Yes",IF(SUM($B$10:M10)/(SUM($B$6:M6)+SUM($B$9:M9))&lt;0,999.99,SUM($B$10:M10)/(SUM($B$6:M6)+SUM($B$9:M9))),"")</f>
        <v>0.1662090416862158</v>
      </c>
      <c r="N12" s="82">
        <f>IF(N13="Yes",IF(SUM($B$10:N10)/(SUM($B$6:N6)+SUM($B$9:N9))&lt;0,999.99,SUM($B$10:N10)/(SUM($B$6:N6)+SUM($B$9:N9))),"")</f>
        <v>0.1780553443727261</v>
      </c>
      <c r="O12" s="82">
        <f>IF(O13="Yes",IF(SUM($B$10:O10)/(SUM($B$6:O6)+SUM($B$9:O9))&lt;0,999.99,SUM($B$10:O10)/(SUM($B$6:O6)+SUM($B$9:O9))),"")</f>
        <v>0.1884391326646117</v>
      </c>
      <c r="P12" s="82">
        <f>IF(P13="Yes",IF(SUM($B$10:P10)/(SUM($B$6:P6)+SUM($B$9:P9))&lt;0,999.99,SUM($B$10:P10)/(SUM($B$6:P6)+SUM($B$9:P9))),"")</f>
        <v>0.1976154975780445</v>
      </c>
      <c r="Q12" s="82">
        <f>IF(Q13="Yes",IF(SUM($B$10:Q10)/(SUM($B$6:Q6)+SUM($B$9:Q9))&lt;0,999.99,SUM($B$10:Q10)/(SUM($B$6:Q6)+SUM($B$9:Q9))),"")</f>
        <v>0.2057834659003747</v>
      </c>
      <c r="R12" s="82">
        <f>IF(R13="Yes",IF(SUM($B$10:R10)/(SUM($B$6:R6)+SUM($B$9:R9))&lt;0,999.99,SUM($B$10:R10)/(SUM($B$6:R6)+SUM($B$9:R9))),"")</f>
        <v>0.2131006003161789</v>
      </c>
      <c r="S12" s="82">
        <f>IF(S13="Yes",IF(SUM($B$10:S10)/(SUM($B$6:S6)+SUM($B$9:S9))&lt;0,999.99,SUM($B$10:S10)/(SUM($B$6:S6)+SUM($B$9:S9))),"")</f>
        <v>0.2196932628434415</v>
      </c>
      <c r="T12" s="82">
        <f>IF(T13="Yes",IF(SUM($B$10:T10)/(SUM($B$6:T6)+SUM($B$9:T9))&lt;0,999.99,SUM($B$10:T10)/(SUM($B$6:T6)+SUM($B$9:T9))),"")</f>
        <v>0.2256639735116721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23134.174</v>
      </c>
      <c r="C18" s="36">
        <f>O18</f>
        <v>23134.174</v>
      </c>
      <c r="D18" s="36">
        <f>P18</f>
        <v>23134.174</v>
      </c>
      <c r="E18" s="36">
        <f>Q18</f>
        <v>23134.174</v>
      </c>
      <c r="F18" s="36">
        <f>R18</f>
        <v>23134.174</v>
      </c>
      <c r="G18" s="36">
        <f>S18</f>
        <v>23134.174</v>
      </c>
      <c r="H18" s="36">
        <f>T18</f>
        <v>23134.174</v>
      </c>
      <c r="I18" s="36">
        <f>U18</f>
        <v>23134.174</v>
      </c>
      <c r="J18" s="36">
        <f>V18</f>
        <v>23134.174</v>
      </c>
      <c r="K18" s="36">
        <f>W18</f>
        <v>23134.174</v>
      </c>
      <c r="L18" s="36">
        <f>X18</f>
        <v>23134.174</v>
      </c>
      <c r="M18" s="36">
        <f>Y18</f>
        <v>23134.174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23134.174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23134.174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23134.174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23134.174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23134.174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23134.174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23134.174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23134.174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23134.174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23134.174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23134.174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23134.174</v>
      </c>
      <c r="Z18" s="36">
        <f>SUMIF($B$13:$Y$13,"Yes",B18:Y18)</f>
        <v>439549.306</v>
      </c>
      <c r="AA18" s="36">
        <f>SUM(B18:M18)</f>
        <v>277610.088</v>
      </c>
      <c r="AB18" s="36">
        <f>SUM(B18:Y18)</f>
        <v>555220.176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38800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24705.9375</v>
      </c>
      <c r="C24" s="36">
        <f>IFERROR(Calculations!$P14/12,"")</f>
        <v>24705.9375</v>
      </c>
      <c r="D24" s="36">
        <f>IFERROR(Calculations!$P14/12,"")</f>
        <v>24705.9375</v>
      </c>
      <c r="E24" s="36">
        <f>IFERROR(Calculations!$P14/12,"")</f>
        <v>24705.9375</v>
      </c>
      <c r="F24" s="36">
        <f>IFERROR(Calculations!$P14/12,"")</f>
        <v>24705.9375</v>
      </c>
      <c r="G24" s="36">
        <f>IFERROR(Calculations!$P14/12,"")</f>
        <v>24705.9375</v>
      </c>
      <c r="H24" s="36">
        <f>IFERROR(Calculations!$P14/12,"")</f>
        <v>24705.9375</v>
      </c>
      <c r="I24" s="36">
        <f>IFERROR(Calculations!$P14/12,"")</f>
        <v>24705.9375</v>
      </c>
      <c r="J24" s="36">
        <f>IFERROR(Calculations!$P14/12,"")</f>
        <v>24705.9375</v>
      </c>
      <c r="K24" s="36">
        <f>IFERROR(Calculations!$P14/12,"")</f>
        <v>24705.9375</v>
      </c>
      <c r="L24" s="36">
        <f>IFERROR(Calculations!$P14/12,"")</f>
        <v>24705.9375</v>
      </c>
      <c r="M24" s="36">
        <f>IFERROR(Calculations!$P14/12,"")</f>
        <v>24705.9375</v>
      </c>
      <c r="N24" s="36">
        <f>IFERROR(Calculations!$P14/12,"")</f>
        <v>24705.9375</v>
      </c>
      <c r="O24" s="36">
        <f>IFERROR(Calculations!$P14/12,"")</f>
        <v>24705.9375</v>
      </c>
      <c r="P24" s="36">
        <f>IFERROR(Calculations!$P14/12,"")</f>
        <v>24705.9375</v>
      </c>
      <c r="Q24" s="36">
        <f>IFERROR(Calculations!$P14/12,"")</f>
        <v>24705.9375</v>
      </c>
      <c r="R24" s="36">
        <f>IFERROR(Calculations!$P14/12,"")</f>
        <v>24705.9375</v>
      </c>
      <c r="S24" s="36">
        <f>IFERROR(Calculations!$P14/12,"")</f>
        <v>24705.9375</v>
      </c>
      <c r="T24" s="36">
        <f>IFERROR(Calculations!$P14/12,"")</f>
        <v>24705.9375</v>
      </c>
      <c r="U24" s="36">
        <f>IFERROR(Calculations!$P14/12,"")</f>
        <v>24705.9375</v>
      </c>
      <c r="V24" s="36">
        <f>IFERROR(Calculations!$P14/12,"")</f>
        <v>24705.9375</v>
      </c>
      <c r="W24" s="36">
        <f>IFERROR(Calculations!$P14/12,"")</f>
        <v>24705.9375</v>
      </c>
      <c r="X24" s="36">
        <f>IFERROR(Calculations!$P14/12,"")</f>
        <v>24705.9375</v>
      </c>
      <c r="Y24" s="36">
        <f>IFERROR(Calculations!$P14/12,"")</f>
        <v>24705.9375</v>
      </c>
      <c r="Z24" s="36">
        <f>SUMIF($B$13:$Y$13,"Yes",B24:Y24)</f>
        <v>469412.8125</v>
      </c>
      <c r="AA24" s="36">
        <f>SUM(B24:M24)</f>
        <v>296471.25</v>
      </c>
      <c r="AB24" s="46">
        <f>SUM(B24:Y24)</f>
        <v>592942.5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2172.222222222222</v>
      </c>
      <c r="C25" s="36">
        <f>IFERROR(Calculations!$P15/12,"")</f>
        <v>2172.222222222222</v>
      </c>
      <c r="D25" s="36">
        <f>IFERROR(Calculations!$P15/12,"")</f>
        <v>2172.222222222222</v>
      </c>
      <c r="E25" s="36">
        <f>IFERROR(Calculations!$P15/12,"")</f>
        <v>2172.222222222222</v>
      </c>
      <c r="F25" s="36">
        <f>IFERROR(Calculations!$P15/12,"")</f>
        <v>2172.222222222222</v>
      </c>
      <c r="G25" s="36">
        <f>IFERROR(Calculations!$P15/12,"")</f>
        <v>2172.222222222222</v>
      </c>
      <c r="H25" s="36">
        <f>IFERROR(Calculations!$P15/12,"")</f>
        <v>2172.222222222222</v>
      </c>
      <c r="I25" s="36">
        <f>IFERROR(Calculations!$P15/12,"")</f>
        <v>2172.222222222222</v>
      </c>
      <c r="J25" s="36">
        <f>IFERROR(Calculations!$P15/12,"")</f>
        <v>2172.222222222222</v>
      </c>
      <c r="K25" s="36">
        <f>IFERROR(Calculations!$P15/12,"")</f>
        <v>2172.222222222222</v>
      </c>
      <c r="L25" s="36">
        <f>IFERROR(Calculations!$P15/12,"")</f>
        <v>2172.222222222222</v>
      </c>
      <c r="M25" s="36">
        <f>IFERROR(Calculations!$P15/12,"")</f>
        <v>2172.222222222222</v>
      </c>
      <c r="N25" s="36">
        <f>IFERROR(Calculations!$P15/12,"")</f>
        <v>2172.222222222222</v>
      </c>
      <c r="O25" s="36">
        <f>IFERROR(Calculations!$P15/12,"")</f>
        <v>2172.222222222222</v>
      </c>
      <c r="P25" s="36">
        <f>IFERROR(Calculations!$P15/12,"")</f>
        <v>2172.222222222222</v>
      </c>
      <c r="Q25" s="36">
        <f>IFERROR(Calculations!$P15/12,"")</f>
        <v>2172.222222222222</v>
      </c>
      <c r="R25" s="36">
        <f>IFERROR(Calculations!$P15/12,"")</f>
        <v>2172.222222222222</v>
      </c>
      <c r="S25" s="36">
        <f>IFERROR(Calculations!$P15/12,"")</f>
        <v>2172.222222222222</v>
      </c>
      <c r="T25" s="36">
        <f>IFERROR(Calculations!$P15/12,"")</f>
        <v>2172.222222222222</v>
      </c>
      <c r="U25" s="36">
        <f>IFERROR(Calculations!$P15/12,"")</f>
        <v>2172.222222222222</v>
      </c>
      <c r="V25" s="36">
        <f>IFERROR(Calculations!$P15/12,"")</f>
        <v>2172.222222222222</v>
      </c>
      <c r="W25" s="36">
        <f>IFERROR(Calculations!$P15/12,"")</f>
        <v>2172.222222222222</v>
      </c>
      <c r="X25" s="36">
        <f>IFERROR(Calculations!$P15/12,"")</f>
        <v>2172.222222222222</v>
      </c>
      <c r="Y25" s="36">
        <f>IFERROR(Calculations!$P15/12,"")</f>
        <v>2172.222222222222</v>
      </c>
      <c r="Z25" s="36">
        <f>SUMIF($B$13:$Y$13,"Yes",B25:Y25)</f>
        <v>41272.22222222221</v>
      </c>
      <c r="AA25" s="36">
        <f>SUM(B25:M25)</f>
        <v>26066.66666666667</v>
      </c>
      <c r="AB25" s="46">
        <f>SUM(B25:Y25)</f>
        <v>52133.33333333331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55000</v>
      </c>
      <c r="C29" s="37">
        <f>Inputs!$B$30</f>
        <v>55000</v>
      </c>
      <c r="D29" s="37">
        <f>Inputs!$B$30</f>
        <v>55000</v>
      </c>
      <c r="E29" s="37">
        <f>Inputs!$B$30</f>
        <v>55000</v>
      </c>
      <c r="F29" s="37">
        <f>Inputs!$B$30</f>
        <v>55000</v>
      </c>
      <c r="G29" s="37">
        <f>Inputs!$B$30</f>
        <v>55000</v>
      </c>
      <c r="H29" s="37">
        <f>Inputs!$B$30</f>
        <v>55000</v>
      </c>
      <c r="I29" s="37">
        <f>Inputs!$B$30</f>
        <v>55000</v>
      </c>
      <c r="J29" s="37">
        <f>Inputs!$B$30</f>
        <v>55000</v>
      </c>
      <c r="K29" s="37">
        <f>Inputs!$B$30</f>
        <v>55000</v>
      </c>
      <c r="L29" s="37">
        <f>Inputs!$B$30</f>
        <v>55000</v>
      </c>
      <c r="M29" s="37">
        <f>Inputs!$B$30</f>
        <v>55000</v>
      </c>
      <c r="N29" s="37">
        <f>Inputs!$B$30</f>
        <v>55000</v>
      </c>
      <c r="O29" s="37">
        <f>Inputs!$B$30</f>
        <v>55000</v>
      </c>
      <c r="P29" s="37">
        <f>Inputs!$B$30</f>
        <v>55000</v>
      </c>
      <c r="Q29" s="37">
        <f>Inputs!$B$30</f>
        <v>55000</v>
      </c>
      <c r="R29" s="37">
        <f>Inputs!$B$30</f>
        <v>55000</v>
      </c>
      <c r="S29" s="37">
        <f>Inputs!$B$30</f>
        <v>55000</v>
      </c>
      <c r="T29" s="37">
        <f>Inputs!$B$30</f>
        <v>55000</v>
      </c>
      <c r="U29" s="37">
        <f>Inputs!$B$30</f>
        <v>55000</v>
      </c>
      <c r="V29" s="37">
        <f>Inputs!$B$30</f>
        <v>55000</v>
      </c>
      <c r="W29" s="37">
        <f>Inputs!$B$30</f>
        <v>55000</v>
      </c>
      <c r="X29" s="37">
        <f>Inputs!$B$30</f>
        <v>55000</v>
      </c>
      <c r="Y29" s="37">
        <f>Inputs!$B$30</f>
        <v>55000</v>
      </c>
      <c r="Z29" s="37">
        <f>SUMIF($B$13:$Y$13,"Yes",B29:Y29)</f>
        <v>1045000</v>
      </c>
      <c r="AA29" s="37">
        <f>SUM(B29:M29)</f>
        <v>660000</v>
      </c>
      <c r="AB29" s="37">
        <f>SUM(B29:Y29)</f>
        <v>1320000</v>
      </c>
    </row>
    <row r="30" spans="1:30" customHeight="1" ht="15.75">
      <c r="A30" s="1" t="s">
        <v>37</v>
      </c>
      <c r="B30" s="19">
        <f>SUM(B18:B29)</f>
        <v>105012.3337222222</v>
      </c>
      <c r="C30" s="19">
        <f>SUM(C18:C29)</f>
        <v>105012.3337222222</v>
      </c>
      <c r="D30" s="19">
        <f>SUM(D18:D29)</f>
        <v>105012.3337222222</v>
      </c>
      <c r="E30" s="19">
        <f>SUM(E18:E29)</f>
        <v>105012.3337222222</v>
      </c>
      <c r="F30" s="19">
        <f>SUM(F18:F29)</f>
        <v>105012.3337222222</v>
      </c>
      <c r="G30" s="19">
        <f>SUM(G18:G29)</f>
        <v>105012.3337222222</v>
      </c>
      <c r="H30" s="19">
        <f>SUM(H18:H29)</f>
        <v>105012.3337222222</v>
      </c>
      <c r="I30" s="19">
        <f>SUM(I18:I29)</f>
        <v>105012.3337222222</v>
      </c>
      <c r="J30" s="19">
        <f>SUM(J18:J29)</f>
        <v>105012.3337222222</v>
      </c>
      <c r="K30" s="19">
        <f>SUM(K18:K29)</f>
        <v>105012.3337222222</v>
      </c>
      <c r="L30" s="19">
        <f>SUM(L18:L29)</f>
        <v>105012.3337222222</v>
      </c>
      <c r="M30" s="19">
        <f>SUM(M18:M29)</f>
        <v>105012.3337222222</v>
      </c>
      <c r="N30" s="19">
        <f>SUM(N18:N29)</f>
        <v>105012.3337222222</v>
      </c>
      <c r="O30" s="19">
        <f>SUM(O18:O29)</f>
        <v>105012.3337222222</v>
      </c>
      <c r="P30" s="19">
        <f>SUM(P18:P29)</f>
        <v>105012.3337222222</v>
      </c>
      <c r="Q30" s="19">
        <f>SUM(Q18:Q29)</f>
        <v>105012.3337222222</v>
      </c>
      <c r="R30" s="19">
        <f>SUM(R18:R29)</f>
        <v>105012.3337222222</v>
      </c>
      <c r="S30" s="19">
        <f>SUM(S18:S29)</f>
        <v>105012.3337222222</v>
      </c>
      <c r="T30" s="19">
        <f>SUM(T18:T29)</f>
        <v>105012.3337222222</v>
      </c>
      <c r="U30" s="19">
        <f>SUM(U18:U29)</f>
        <v>105012.3337222222</v>
      </c>
      <c r="V30" s="19">
        <f>SUM(V18:V29)</f>
        <v>105012.3337222222</v>
      </c>
      <c r="W30" s="19">
        <f>SUM(W18:W29)</f>
        <v>105012.3337222222</v>
      </c>
      <c r="X30" s="19">
        <f>SUM(X18:X29)</f>
        <v>105012.3337222222</v>
      </c>
      <c r="Y30" s="19">
        <f>SUM(Y18:Y29)</f>
        <v>105012.3337222222</v>
      </c>
      <c r="Z30" s="19">
        <f>SUMIF($B$13:$Y$13,"Yes",B30:Y30)</f>
        <v>1995234.340722221</v>
      </c>
      <c r="AA30" s="19">
        <f>SUM(B30:M30)</f>
        <v>1260148.004666667</v>
      </c>
      <c r="AB30" s="19">
        <f>SUM(B30:Y30)</f>
        <v>2520296.009333332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1880.208333333333</v>
      </c>
      <c r="C66" s="36">
        <f>O66</f>
        <v>1880.208333333333</v>
      </c>
      <c r="D66" s="36">
        <f>P66</f>
        <v>1880.208333333333</v>
      </c>
      <c r="E66" s="36">
        <f>Q66</f>
        <v>1880.208333333333</v>
      </c>
      <c r="F66" s="36">
        <f>R66</f>
        <v>1880.208333333333</v>
      </c>
      <c r="G66" s="36">
        <f>S66</f>
        <v>1880.208333333333</v>
      </c>
      <c r="H66" s="36">
        <f>T66</f>
        <v>1880.208333333333</v>
      </c>
      <c r="I66" s="36">
        <f>U66</f>
        <v>1880.208333333333</v>
      </c>
      <c r="J66" s="36">
        <f>V66</f>
        <v>1880.208333333333</v>
      </c>
      <c r="K66" s="36">
        <f>W66</f>
        <v>1880.208333333333</v>
      </c>
      <c r="L66" s="36">
        <f>X66</f>
        <v>1880.208333333333</v>
      </c>
      <c r="M66" s="36">
        <f>Y66</f>
        <v>1880.208333333333</v>
      </c>
      <c r="N66" s="46">
        <f>SUM(N67:N71)</f>
        <v>1880.208333333333</v>
      </c>
      <c r="O66" s="46">
        <f>SUM(O67:O71)</f>
        <v>1880.208333333333</v>
      </c>
      <c r="P66" s="46">
        <f>SUM(P67:P71)</f>
        <v>1880.208333333333</v>
      </c>
      <c r="Q66" s="46">
        <f>SUM(Q67:Q71)</f>
        <v>1880.208333333333</v>
      </c>
      <c r="R66" s="46">
        <f>SUM(R67:R71)</f>
        <v>1880.208333333333</v>
      </c>
      <c r="S66" s="46">
        <f>SUM(S67:S71)</f>
        <v>1880.208333333333</v>
      </c>
      <c r="T66" s="46">
        <f>SUM(T67:T71)</f>
        <v>1880.208333333333</v>
      </c>
      <c r="U66" s="46">
        <f>SUM(U67:U71)</f>
        <v>1880.208333333333</v>
      </c>
      <c r="V66" s="46">
        <f>SUM(V67:V71)</f>
        <v>1880.208333333333</v>
      </c>
      <c r="W66" s="46">
        <f>SUM(W67:W71)</f>
        <v>1880.208333333333</v>
      </c>
      <c r="X66" s="46">
        <f>SUM(X67:X71)</f>
        <v>1880.208333333333</v>
      </c>
      <c r="Y66" s="46">
        <f>SUM(Y67:Y71)</f>
        <v>1880.208333333333</v>
      </c>
      <c r="Z66" s="46">
        <f>SUMIF($B$13:$Y$13,"Yes",B66:Y66)</f>
        <v>35723.95833333333</v>
      </c>
      <c r="AA66" s="46">
        <f>SUM(B66:M66)</f>
        <v>22562.5</v>
      </c>
      <c r="AB66" s="46">
        <f>SUM(B66:Y66)</f>
        <v>45125.00000000001</v>
      </c>
    </row>
    <row r="67" spans="1:30" hidden="true" outlineLevel="1">
      <c r="A67" s="181" t="str">
        <f>Calculations!$A$4</f>
        <v>Bananas</v>
      </c>
      <c r="B67" s="36">
        <f>N67</f>
        <v>1880.208333333333</v>
      </c>
      <c r="C67" s="36">
        <f>O67</f>
        <v>1880.208333333333</v>
      </c>
      <c r="D67" s="36">
        <f>P67</f>
        <v>1880.208333333333</v>
      </c>
      <c r="E67" s="36">
        <f>Q67</f>
        <v>1880.208333333333</v>
      </c>
      <c r="F67" s="36">
        <f>R67</f>
        <v>1880.208333333333</v>
      </c>
      <c r="G67" s="36">
        <f>S67</f>
        <v>1880.208333333333</v>
      </c>
      <c r="H67" s="36">
        <f>T67</f>
        <v>1880.208333333333</v>
      </c>
      <c r="I67" s="36">
        <f>U67</f>
        <v>1880.208333333333</v>
      </c>
      <c r="J67" s="36">
        <f>V67</f>
        <v>1880.208333333333</v>
      </c>
      <c r="K67" s="36">
        <f>W67</f>
        <v>1880.208333333333</v>
      </c>
      <c r="L67" s="36">
        <f>X67</f>
        <v>1880.208333333333</v>
      </c>
      <c r="M67" s="36">
        <f>Y67</f>
        <v>1880.208333333333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1880.208333333333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1880.208333333333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1880.208333333333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1880.208333333333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1880.208333333333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1880.208333333333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1880.208333333333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1880.208333333333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1880.208333333333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1880.208333333333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1880.208333333333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1880.208333333333</v>
      </c>
      <c r="Z67" s="46">
        <f>SUMIF($B$13:$Y$13,"Yes",B67:Y67)</f>
        <v>35723.95833333333</v>
      </c>
      <c r="AA67" s="46">
        <f>SUM(B67:M67)</f>
        <v>22562.5</v>
      </c>
      <c r="AB67" s="46">
        <f>SUM(B67:Y67)</f>
        <v>45125.00000000001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144479.1666666667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350</v>
      </c>
      <c r="C75" s="46">
        <f>SUM(Calculations!$R$14:$R$16)/12</f>
        <v>350</v>
      </c>
      <c r="D75" s="46">
        <f>SUM(Calculations!$R$14:$R$16)/12</f>
        <v>350</v>
      </c>
      <c r="E75" s="46">
        <f>SUM(Calculations!$R$14:$R$16)/12</f>
        <v>350</v>
      </c>
      <c r="F75" s="46">
        <f>SUM(Calculations!$R$14:$R$16)/12</f>
        <v>350</v>
      </c>
      <c r="G75" s="46">
        <f>SUM(Calculations!$R$14:$R$16)/12</f>
        <v>350</v>
      </c>
      <c r="H75" s="46">
        <f>SUM(Calculations!$R$14:$R$16)/12</f>
        <v>350</v>
      </c>
      <c r="I75" s="46">
        <f>SUM(Calculations!$R$14:$R$16)/12</f>
        <v>350</v>
      </c>
      <c r="J75" s="46">
        <f>SUM(Calculations!$R$14:$R$16)/12</f>
        <v>350</v>
      </c>
      <c r="K75" s="46">
        <f>SUM(Calculations!$R$14:$R$16)/12</f>
        <v>350</v>
      </c>
      <c r="L75" s="46">
        <f>SUM(Calculations!$R$14:$R$16)/12</f>
        <v>350</v>
      </c>
      <c r="M75" s="46">
        <f>SUM(Calculations!$R$14:$R$16)/12</f>
        <v>350</v>
      </c>
      <c r="N75" s="46">
        <f>SUM(Calculations!$R$14:$R$16)/12</f>
        <v>350</v>
      </c>
      <c r="O75" s="46">
        <f>SUM(Calculations!$R$14:$R$16)/12</f>
        <v>350</v>
      </c>
      <c r="P75" s="46">
        <f>SUM(Calculations!$R$14:$R$16)/12</f>
        <v>350</v>
      </c>
      <c r="Q75" s="46">
        <f>SUM(Calculations!$R$14:$R$16)/12</f>
        <v>350</v>
      </c>
      <c r="R75" s="46">
        <f>SUM(Calculations!$R$14:$R$16)/12</f>
        <v>350</v>
      </c>
      <c r="S75" s="46">
        <f>SUM(Calculations!$R$14:$R$16)/12</f>
        <v>350</v>
      </c>
      <c r="T75" s="46">
        <f>SUM(Calculations!$R$14:$R$16)/12</f>
        <v>350</v>
      </c>
      <c r="U75" s="46">
        <f>SUM(Calculations!$R$14:$R$16)/12</f>
        <v>350</v>
      </c>
      <c r="V75" s="46">
        <f>SUM(Calculations!$R$14:$R$16)/12</f>
        <v>350</v>
      </c>
      <c r="W75" s="46">
        <f>SUM(Calculations!$R$14:$R$16)/12</f>
        <v>350</v>
      </c>
      <c r="X75" s="46">
        <f>SUM(Calculations!$R$14:$R$16)/12</f>
        <v>350</v>
      </c>
      <c r="Y75" s="46">
        <f>SUM(Calculations!$R$14:$R$16)/12</f>
        <v>350</v>
      </c>
      <c r="Z75" s="46">
        <f>SUMIF($B$13:$Y$13,"Yes",B75:Y75)</f>
        <v>6650</v>
      </c>
      <c r="AA75" s="46">
        <f>SUM(B75:M75)</f>
        <v>4200</v>
      </c>
      <c r="AB75" s="46">
        <f>SUM(B75:Y75)</f>
        <v>8400</v>
      </c>
    </row>
    <row r="76" spans="1:30">
      <c r="A76" s="16" t="s">
        <v>48</v>
      </c>
      <c r="B76" s="46">
        <f>SUM(Calculations!$S$14:$S$16)/12</f>
        <v>1616.666666666667</v>
      </c>
      <c r="C76" s="46">
        <f>SUM(Calculations!$S$14:$S$16)/12</f>
        <v>1616.666666666667</v>
      </c>
      <c r="D76" s="46">
        <f>SUM(Calculations!$S$14:$S$16)/12</f>
        <v>1616.666666666667</v>
      </c>
      <c r="E76" s="46">
        <f>SUM(Calculations!$S$14:$S$16)/12</f>
        <v>1616.666666666667</v>
      </c>
      <c r="F76" s="46">
        <f>SUM(Calculations!$S$14:$S$16)/12</f>
        <v>1616.666666666667</v>
      </c>
      <c r="G76" s="46">
        <f>SUM(Calculations!$S$14:$S$16)/12</f>
        <v>1616.666666666667</v>
      </c>
      <c r="H76" s="46">
        <f>SUM(Calculations!$S$14:$S$16)/12</f>
        <v>1616.666666666667</v>
      </c>
      <c r="I76" s="46">
        <f>SUM(Calculations!$S$14:$S$16)/12</f>
        <v>1616.666666666667</v>
      </c>
      <c r="J76" s="46">
        <f>SUM(Calculations!$S$14:$S$16)/12</f>
        <v>1616.666666666667</v>
      </c>
      <c r="K76" s="46">
        <f>SUM(Calculations!$S$14:$S$16)/12</f>
        <v>1616.666666666667</v>
      </c>
      <c r="L76" s="46">
        <f>SUM(Calculations!$S$14:$S$16)/12</f>
        <v>1616.666666666667</v>
      </c>
      <c r="M76" s="46">
        <f>SUM(Calculations!$S$14:$S$16)/12</f>
        <v>1616.666666666667</v>
      </c>
      <c r="N76" s="46">
        <f>SUM(Calculations!$S$14:$S$16)/12</f>
        <v>1616.666666666667</v>
      </c>
      <c r="O76" s="46">
        <f>SUM(Calculations!$S$14:$S$16)/12</f>
        <v>1616.666666666667</v>
      </c>
      <c r="P76" s="46">
        <f>SUM(Calculations!$S$14:$S$16)/12</f>
        <v>1616.666666666667</v>
      </c>
      <c r="Q76" s="46">
        <f>SUM(Calculations!$S$14:$S$16)/12</f>
        <v>1616.666666666667</v>
      </c>
      <c r="R76" s="46">
        <f>SUM(Calculations!$S$14:$S$16)/12</f>
        <v>1616.666666666667</v>
      </c>
      <c r="S76" s="46">
        <f>SUM(Calculations!$S$14:$S$16)/12</f>
        <v>1616.666666666667</v>
      </c>
      <c r="T76" s="46">
        <f>SUM(Calculations!$S$14:$S$16)/12</f>
        <v>1616.666666666667</v>
      </c>
      <c r="U76" s="46">
        <f>SUM(Calculations!$S$14:$S$16)/12</f>
        <v>1616.666666666667</v>
      </c>
      <c r="V76" s="46">
        <f>SUM(Calculations!$S$14:$S$16)/12</f>
        <v>1616.666666666667</v>
      </c>
      <c r="W76" s="46">
        <f>SUM(Calculations!$S$14:$S$16)/12</f>
        <v>1616.666666666667</v>
      </c>
      <c r="X76" s="46">
        <f>SUM(Calculations!$S$14:$S$16)/12</f>
        <v>1616.666666666667</v>
      </c>
      <c r="Y76" s="46">
        <f>SUM(Calculations!$S$14:$S$16)/12</f>
        <v>1616.666666666667</v>
      </c>
      <c r="Z76" s="46">
        <f>SUMIF($B$13:$Y$13,"Yes",B76:Y76)</f>
        <v>30716.66666666668</v>
      </c>
      <c r="AA76" s="46">
        <f>SUM(B76:M76)</f>
        <v>19400</v>
      </c>
      <c r="AB76" s="46">
        <f>SUM(B76:Y76)</f>
        <v>38800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285000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31424.51682222222</v>
      </c>
      <c r="C81" s="46">
        <f>(SUM($AA$18:$AA$29)-SUM($AA$36,$AA$42,$AA$48,$AA$54,$AA$60,$AA$66,$AA$72:$AA$79))*Parameters!$B$37/12</f>
        <v>31424.51682222222</v>
      </c>
      <c r="D81" s="46">
        <f>(SUM($AA$18:$AA$29)-SUM($AA$36,$AA$42,$AA$48,$AA$54,$AA$60,$AA$66,$AA$72:$AA$79))*Parameters!$B$37/12</f>
        <v>31424.51682222222</v>
      </c>
      <c r="E81" s="46">
        <f>(SUM($AA$18:$AA$29)-SUM($AA$36,$AA$42,$AA$48,$AA$54,$AA$60,$AA$66,$AA$72:$AA$79))*Parameters!$B$37/12</f>
        <v>31424.51682222222</v>
      </c>
      <c r="F81" s="46">
        <f>(SUM($AA$18:$AA$29)-SUM($AA$36,$AA$42,$AA$48,$AA$54,$AA$60,$AA$66,$AA$72:$AA$79))*Parameters!$B$37/12</f>
        <v>31424.51682222222</v>
      </c>
      <c r="G81" s="46">
        <f>(SUM($AA$18:$AA$29)-SUM($AA$36,$AA$42,$AA$48,$AA$54,$AA$60,$AA$66,$AA$72:$AA$79))*Parameters!$B$37/12</f>
        <v>31424.51682222222</v>
      </c>
      <c r="H81" s="46">
        <f>(SUM($AA$18:$AA$29)-SUM($AA$36,$AA$42,$AA$48,$AA$54,$AA$60,$AA$66,$AA$72:$AA$79))*Parameters!$B$37/12</f>
        <v>31424.51682222222</v>
      </c>
      <c r="I81" s="46">
        <f>(SUM($AA$18:$AA$29)-SUM($AA$36,$AA$42,$AA$48,$AA$54,$AA$60,$AA$66,$AA$72:$AA$79))*Parameters!$B$37/12</f>
        <v>31424.51682222222</v>
      </c>
      <c r="J81" s="46">
        <f>(SUM($AA$18:$AA$29)-SUM($AA$36,$AA$42,$AA$48,$AA$54,$AA$60,$AA$66,$AA$72:$AA$79))*Parameters!$B$37/12</f>
        <v>31424.51682222222</v>
      </c>
      <c r="K81" s="46">
        <f>(SUM($AA$18:$AA$29)-SUM($AA$36,$AA$42,$AA$48,$AA$54,$AA$60,$AA$66,$AA$72:$AA$79))*Parameters!$B$37/12</f>
        <v>31424.51682222222</v>
      </c>
      <c r="L81" s="46">
        <f>(SUM($AA$18:$AA$29)-SUM($AA$36,$AA$42,$AA$48,$AA$54,$AA$60,$AA$66,$AA$72:$AA$79))*Parameters!$B$37/12</f>
        <v>31424.51682222222</v>
      </c>
      <c r="M81" s="46">
        <f>(SUM($AA$18:$AA$29)-SUM($AA$36,$AA$42,$AA$48,$AA$54,$AA$60,$AA$66,$AA$72:$AA$79))*Parameters!$B$37/12</f>
        <v>31424.51682222222</v>
      </c>
      <c r="N81" s="46">
        <f>(SUM($AA$18:$AA$29)-SUM($AA$36,$AA$42,$AA$48,$AA$54,$AA$60,$AA$66,$AA$72:$AA$79))*Parameters!$B$37/12</f>
        <v>31424.51682222222</v>
      </c>
      <c r="O81" s="46">
        <f>(SUM($AA$18:$AA$29)-SUM($AA$36,$AA$42,$AA$48,$AA$54,$AA$60,$AA$66,$AA$72:$AA$79))*Parameters!$B$37/12</f>
        <v>31424.51682222222</v>
      </c>
      <c r="P81" s="46">
        <f>(SUM($AA$18:$AA$29)-SUM($AA$36,$AA$42,$AA$48,$AA$54,$AA$60,$AA$66,$AA$72:$AA$79))*Parameters!$B$37/12</f>
        <v>31424.51682222222</v>
      </c>
      <c r="Q81" s="46">
        <f>(SUM($AA$18:$AA$29)-SUM($AA$36,$AA$42,$AA$48,$AA$54,$AA$60,$AA$66,$AA$72:$AA$79))*Parameters!$B$37/12</f>
        <v>31424.51682222222</v>
      </c>
      <c r="R81" s="46">
        <f>(SUM($AA$18:$AA$29)-SUM($AA$36,$AA$42,$AA$48,$AA$54,$AA$60,$AA$66,$AA$72:$AA$79))*Parameters!$B$37/12</f>
        <v>31424.51682222222</v>
      </c>
      <c r="S81" s="46">
        <f>(SUM($AA$18:$AA$29)-SUM($AA$36,$AA$42,$AA$48,$AA$54,$AA$60,$AA$66,$AA$72:$AA$79))*Parameters!$B$37/12</f>
        <v>31424.51682222222</v>
      </c>
      <c r="T81" s="46">
        <f>(SUM($AA$18:$AA$29)-SUM($AA$36,$AA$42,$AA$48,$AA$54,$AA$60,$AA$66,$AA$72:$AA$79))*Parameters!$B$37/12</f>
        <v>31424.51682222222</v>
      </c>
      <c r="U81" s="46">
        <f>(SUM($AA$18:$AA$29)-SUM($AA$36,$AA$42,$AA$48,$AA$54,$AA$60,$AA$66,$AA$72:$AA$79))*Parameters!$B$37/12</f>
        <v>31424.51682222222</v>
      </c>
      <c r="V81" s="46">
        <f>(SUM($AA$18:$AA$29)-SUM($AA$36,$AA$42,$AA$48,$AA$54,$AA$60,$AA$66,$AA$72:$AA$79))*Parameters!$B$37/12</f>
        <v>31424.51682222222</v>
      </c>
      <c r="W81" s="46">
        <f>(SUM($AA$18:$AA$29)-SUM($AA$36,$AA$42,$AA$48,$AA$54,$AA$60,$AA$66,$AA$72:$AA$79))*Parameters!$B$37/12</f>
        <v>31424.51682222222</v>
      </c>
      <c r="X81" s="46">
        <f>(SUM($AA$18:$AA$29)-SUM($AA$36,$AA$42,$AA$48,$AA$54,$AA$60,$AA$66,$AA$72:$AA$79))*Parameters!$B$37/12</f>
        <v>31424.51682222222</v>
      </c>
      <c r="Y81" s="46">
        <f>(SUM($AA$18:$AA$29)-SUM($AA$36,$AA$42,$AA$48,$AA$54,$AA$60,$AA$66,$AA$72:$AA$79))*Parameters!$B$37/12</f>
        <v>31424.51682222222</v>
      </c>
      <c r="Z81" s="46">
        <f>SUMIF($B$13:$Y$13,"Yes",B81:Y81)</f>
        <v>597065.8196222222</v>
      </c>
      <c r="AA81" s="46">
        <f>SUM(B81:M81)</f>
        <v>377094.2018666666</v>
      </c>
      <c r="AB81" s="46">
        <f>SUM(B81:Y81)</f>
        <v>754188.4037333336</v>
      </c>
    </row>
    <row r="82" spans="1:30">
      <c r="A82" s="16" t="s">
        <v>52</v>
      </c>
      <c r="B82" s="46">
        <f>SUM(B83:B87)</f>
        <v>22551.68632987039</v>
      </c>
      <c r="C82" s="46">
        <f>SUM(C83:C87)</f>
        <v>22551.68632987039</v>
      </c>
      <c r="D82" s="46">
        <f>SUM(D83:D87)</f>
        <v>22551.68632987039</v>
      </c>
      <c r="E82" s="46">
        <f>SUM(E83:E87)</f>
        <v>22551.68632987039</v>
      </c>
      <c r="F82" s="46">
        <f>SUM(F83:F87)</f>
        <v>22551.68632987039</v>
      </c>
      <c r="G82" s="46">
        <f>SUM(G83:G87)</f>
        <v>28847.35398565674</v>
      </c>
      <c r="H82" s="46">
        <f>SUM(H83:H87)</f>
        <v>15280.96427250145</v>
      </c>
      <c r="I82" s="46">
        <f>SUM(I83:I87)</f>
        <v>15280.96427250145</v>
      </c>
      <c r="J82" s="46">
        <f>SUM(J83:J87)</f>
        <v>15280.96427250145</v>
      </c>
      <c r="K82" s="46">
        <f>SUM(K83:K87)</f>
        <v>15280.96427250145</v>
      </c>
      <c r="L82" s="46">
        <f>SUM(L83:L87)</f>
        <v>15280.96427250145</v>
      </c>
      <c r="M82" s="46">
        <f>SUM(M83:M87)</f>
        <v>15280.96427250145</v>
      </c>
      <c r="N82" s="46">
        <f>SUM(N83:N87)</f>
        <v>15280.96427250145</v>
      </c>
      <c r="O82" s="46">
        <f>SUM(O83:O87)</f>
        <v>15280.96427250145</v>
      </c>
      <c r="P82" s="46">
        <f>SUM(P83:P87)</f>
        <v>15280.96427250145</v>
      </c>
      <c r="Q82" s="46">
        <f>SUM(Q83:Q87)</f>
        <v>15280.96427250145</v>
      </c>
      <c r="R82" s="46">
        <f>SUM(R83:R87)</f>
        <v>15280.96427250145</v>
      </c>
      <c r="S82" s="46">
        <f>SUM(S83:S87)</f>
        <v>15280.96427250145</v>
      </c>
      <c r="T82" s="46">
        <f>SUM(T83:T87)</f>
        <v>15280.96427250145</v>
      </c>
      <c r="U82" s="46">
        <f>SUM(U83:U87)</f>
        <v>86394.17181967128</v>
      </c>
      <c r="V82" s="46">
        <f>SUM(V83:V87)</f>
        <v>6519.957983193277</v>
      </c>
      <c r="W82" s="46">
        <f>SUM(W83:W87)</f>
        <v>6519.957983193277</v>
      </c>
      <c r="X82" s="46">
        <f>SUM(X83:X87)</f>
        <v>6519.957983193277</v>
      </c>
      <c r="Y82" s="46">
        <f>SUM(Y83:Y87)</f>
        <v>6519.957983193277</v>
      </c>
      <c r="Z82" s="46">
        <f>SUMIF($B$13:$Y$13,"Yes",B82:Y82)</f>
        <v>340258.3211775276</v>
      </c>
      <c r="AA82" s="46">
        <f>SUM(B82:M82)</f>
        <v>233291.5712700174</v>
      </c>
      <c r="AB82" s="46">
        <f>SUM(B82:Y82)</f>
        <v>452732.324929972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6519.957983193277</v>
      </c>
      <c r="C83" s="46">
        <f>IF(Calculations!$E23&gt;COUNT(Output!$B$35:C$35),Calculations!$B23,IF(Calculations!$E23=COUNT(Output!$B$35:C$35),Inputs!$B56-Calculations!$C23*(Calculations!$E23-1)+Calculations!$D23,0))</f>
        <v>6519.957983193277</v>
      </c>
      <c r="D83" s="46">
        <f>IF(Calculations!$E23&gt;COUNT(Output!$B$35:D$35),Calculations!$B23,IF(Calculations!$E23=COUNT(Output!$B$35:D$35),Inputs!$B56-Calculations!$C23*(Calculations!$E23-1)+Calculations!$D23,0))</f>
        <v>6519.957983193277</v>
      </c>
      <c r="E83" s="46">
        <f>IF(Calculations!$E23&gt;COUNT(Output!$B$35:E$35),Calculations!$B23,IF(Calculations!$E23=COUNT(Output!$B$35:E$35),Inputs!$B56-Calculations!$C23*(Calculations!$E23-1)+Calculations!$D23,0))</f>
        <v>6519.957983193277</v>
      </c>
      <c r="F83" s="46">
        <f>IF(Calculations!$E23&gt;COUNT(Output!$B$35:F$35),Calculations!$B23,IF(Calculations!$E23=COUNT(Output!$B$35:F$35),Inputs!$B56-Calculations!$C23*(Calculations!$E23-1)+Calculations!$D23,0))</f>
        <v>6519.957983193277</v>
      </c>
      <c r="G83" s="46">
        <f>IF(Calculations!$E23&gt;COUNT(Output!$B$35:G$35),Calculations!$B23,IF(Calculations!$E23=COUNT(Output!$B$35:G$35),Inputs!$B56-Calculations!$C23*(Calculations!$E23-1)+Calculations!$D23,0))</f>
        <v>6519.957983193277</v>
      </c>
      <c r="H83" s="46">
        <f>IF(Calculations!$E23&gt;COUNT(Output!$B$35:H$35),Calculations!$B23,IF(Calculations!$E23=COUNT(Output!$B$35:H$35),Inputs!$B56-Calculations!$C23*(Calculations!$E23-1)+Calculations!$D23,0))</f>
        <v>6519.957983193277</v>
      </c>
      <c r="I83" s="46">
        <f>IF(Calculations!$E23&gt;COUNT(Output!$B$35:I$35),Calculations!$B23,IF(Calculations!$E23=COUNT(Output!$B$35:I$35),Inputs!$B56-Calculations!$C23*(Calculations!$E23-1)+Calculations!$D23,0))</f>
        <v>6519.957983193277</v>
      </c>
      <c r="J83" s="46">
        <f>IF(Calculations!$E23&gt;COUNT(Output!$B$35:J$35),Calculations!$B23,IF(Calculations!$E23=COUNT(Output!$B$35:J$35),Inputs!$B56-Calculations!$C23*(Calculations!$E23-1)+Calculations!$D23,0))</f>
        <v>6519.957983193277</v>
      </c>
      <c r="K83" s="46">
        <f>IF(Calculations!$E23&gt;COUNT(Output!$B$35:K$35),Calculations!$B23,IF(Calculations!$E23=COUNT(Output!$B$35:K$35),Inputs!$B56-Calculations!$C23*(Calculations!$E23-1)+Calculations!$D23,0))</f>
        <v>6519.957983193277</v>
      </c>
      <c r="L83" s="46">
        <f>IF(Calculations!$E23&gt;COUNT(Output!$B$35:L$35),Calculations!$B23,IF(Calculations!$E23=COUNT(Output!$B$35:L$35),Inputs!$B56-Calculations!$C23*(Calculations!$E23-1)+Calculations!$D23,0))</f>
        <v>6519.957983193277</v>
      </c>
      <c r="M83" s="46">
        <f>IF(Calculations!$E23&gt;COUNT(Output!$B$35:M$35),Calculations!$B23,IF(Calculations!$E23=COUNT(Output!$B$35:M$35),Inputs!$B56-Calculations!$C23*(Calculations!$E23-1)+Calculations!$D23,0))</f>
        <v>6519.957983193277</v>
      </c>
      <c r="N83" s="46">
        <f>IF(Calculations!$E23&gt;COUNT(Output!$B$35:N$35),Calculations!$B23,IF(Calculations!$E23=COUNT(Output!$B$35:N$35),Inputs!$B56-Calculations!$C23*(Calculations!$E23-1)+Calculations!$D23,0))</f>
        <v>6519.957983193277</v>
      </c>
      <c r="O83" s="46">
        <f>IF(Calculations!$E23&gt;COUNT(Output!$B$35:O$35),Calculations!$B23,IF(Calculations!$E23=COUNT(Output!$B$35:O$35),Inputs!$B56-Calculations!$C23*(Calculations!$E23-1)+Calculations!$D23,0))</f>
        <v>6519.957983193277</v>
      </c>
      <c r="P83" s="46">
        <f>IF(Calculations!$E23&gt;COUNT(Output!$B$35:P$35),Calculations!$B23,IF(Calculations!$E23=COUNT(Output!$B$35:P$35),Inputs!$B56-Calculations!$C23*(Calculations!$E23-1)+Calculations!$D23,0))</f>
        <v>6519.957983193277</v>
      </c>
      <c r="Q83" s="46">
        <f>IF(Calculations!$E23&gt;COUNT(Output!$B$35:Q$35),Calculations!$B23,IF(Calculations!$E23=COUNT(Output!$B$35:Q$35),Inputs!$B56-Calculations!$C23*(Calculations!$E23-1)+Calculations!$D23,0))</f>
        <v>6519.957983193277</v>
      </c>
      <c r="R83" s="46">
        <f>IF(Calculations!$E23&gt;COUNT(Output!$B$35:R$35),Calculations!$B23,IF(Calculations!$E23=COUNT(Output!$B$35:R$35),Inputs!$B56-Calculations!$C23*(Calculations!$E23-1)+Calculations!$D23,0))</f>
        <v>6519.957983193277</v>
      </c>
      <c r="S83" s="46">
        <f>IF(Calculations!$E23&gt;COUNT(Output!$B$35:S$35),Calculations!$B23,IF(Calculations!$E23=COUNT(Output!$B$35:S$35),Inputs!$B56-Calculations!$C23*(Calculations!$E23-1)+Calculations!$D23,0))</f>
        <v>6519.957983193277</v>
      </c>
      <c r="T83" s="46">
        <f>IF(Calculations!$E23&gt;COUNT(Output!$B$35:T$35),Calculations!$B23,IF(Calculations!$E23=COUNT(Output!$B$35:T$35),Inputs!$B56-Calculations!$C23*(Calculations!$E23-1)+Calculations!$D23,0))</f>
        <v>6519.957983193277</v>
      </c>
      <c r="U83" s="46">
        <f>IF(Calculations!$E23&gt;COUNT(Output!$B$35:U$35),Calculations!$B23,IF(Calculations!$E23=COUNT(Output!$B$35:U$35),Inputs!$B56-Calculations!$C23*(Calculations!$E23-1)+Calculations!$D23,0))</f>
        <v>6519.957983193277</v>
      </c>
      <c r="V83" s="46">
        <f>IF(Calculations!$E23&gt;COUNT(Output!$B$35:V$35),Calculations!$B23,IF(Calculations!$E23=COUNT(Output!$B$35:V$35),Inputs!$B56-Calculations!$C23*(Calculations!$E23-1)+Calculations!$D23,0))</f>
        <v>6519.957983193277</v>
      </c>
      <c r="W83" s="46">
        <f>IF(Calculations!$E23&gt;COUNT(Output!$B$35:W$35),Calculations!$B23,IF(Calculations!$E23=COUNT(Output!$B$35:W$35),Inputs!$B56-Calculations!$C23*(Calculations!$E23-1)+Calculations!$D23,0))</f>
        <v>6519.957983193277</v>
      </c>
      <c r="X83" s="46">
        <f>IF(Calculations!$E23&gt;COUNT(Output!$B$35:X$35),Calculations!$B23,IF(Calculations!$E23=COUNT(Output!$B$35:X$35),Inputs!$B56-Calculations!$C23*(Calculations!$E23-1)+Calculations!$D23,0))</f>
        <v>6519.957983193277</v>
      </c>
      <c r="Y83" s="46">
        <f>IF(Calculations!$E23&gt;COUNT(Output!$B$35:Y$35),Calculations!$B23,IF(Calculations!$E23=COUNT(Output!$B$35:Y$35),Inputs!$B56-Calculations!$C23*(Calculations!$E23-1)+Calculations!$D23,0))</f>
        <v>6519.957983193277</v>
      </c>
      <c r="Z83" s="46">
        <f>SUMIF($B$13:$Y$13,"Yes",B83:Y83)</f>
        <v>123879.2016806723</v>
      </c>
      <c r="AA83" s="46">
        <f>SUM(B83:M83)</f>
        <v>78239.49579831933</v>
      </c>
      <c r="AB83" s="46">
        <f>SUM(B83:Y83)</f>
        <v>156478.9915966387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8761.006289308176</v>
      </c>
      <c r="C85" s="46">
        <f>IF(Calculations!$E25&gt;COUNT(Output!$B$35:C$35),Calculations!$B25,IF(Calculations!$E25=COUNT(Output!$B$35:C$35),Inputs!$B58-Calculations!$C25*(Calculations!$E25-1)+Calculations!$D25,0))</f>
        <v>8761.006289308176</v>
      </c>
      <c r="D85" s="46">
        <f>IF(Calculations!$E25&gt;COUNT(Output!$B$35:D$35),Calculations!$B25,IF(Calculations!$E25=COUNT(Output!$B$35:D$35),Inputs!$B58-Calculations!$C25*(Calculations!$E25-1)+Calculations!$D25,0))</f>
        <v>8761.006289308176</v>
      </c>
      <c r="E85" s="46">
        <f>IF(Calculations!$E25&gt;COUNT(Output!$B$35:E$35),Calculations!$B25,IF(Calculations!$E25=COUNT(Output!$B$35:E$35),Inputs!$B58-Calculations!$C25*(Calculations!$E25-1)+Calculations!$D25,0))</f>
        <v>8761.006289308176</v>
      </c>
      <c r="F85" s="46">
        <f>IF(Calculations!$E25&gt;COUNT(Output!$B$35:F$35),Calculations!$B25,IF(Calculations!$E25=COUNT(Output!$B$35:F$35),Inputs!$B58-Calculations!$C25*(Calculations!$E25-1)+Calculations!$D25,0))</f>
        <v>8761.006289308176</v>
      </c>
      <c r="G85" s="46">
        <f>IF(Calculations!$E25&gt;COUNT(Output!$B$35:G$35),Calculations!$B25,IF(Calculations!$E25=COUNT(Output!$B$35:G$35),Inputs!$B58-Calculations!$C25*(Calculations!$E25-1)+Calculations!$D25,0))</f>
        <v>8761.006289308176</v>
      </c>
      <c r="H85" s="46">
        <f>IF(Calculations!$E25&gt;COUNT(Output!$B$35:H$35),Calculations!$B25,IF(Calculations!$E25=COUNT(Output!$B$35:H$35),Inputs!$B58-Calculations!$C25*(Calculations!$E25-1)+Calculations!$D25,0))</f>
        <v>8761.006289308176</v>
      </c>
      <c r="I85" s="46">
        <f>IF(Calculations!$E25&gt;COUNT(Output!$B$35:I$35),Calculations!$B25,IF(Calculations!$E25=COUNT(Output!$B$35:I$35),Inputs!$B58-Calculations!$C25*(Calculations!$E25-1)+Calculations!$D25,0))</f>
        <v>8761.006289308176</v>
      </c>
      <c r="J85" s="46">
        <f>IF(Calculations!$E25&gt;COUNT(Output!$B$35:J$35),Calculations!$B25,IF(Calculations!$E25=COUNT(Output!$B$35:J$35),Inputs!$B58-Calculations!$C25*(Calculations!$E25-1)+Calculations!$D25,0))</f>
        <v>8761.006289308176</v>
      </c>
      <c r="K85" s="46">
        <f>IF(Calculations!$E25&gt;COUNT(Output!$B$35:K$35),Calculations!$B25,IF(Calculations!$E25=COUNT(Output!$B$35:K$35),Inputs!$B58-Calculations!$C25*(Calculations!$E25-1)+Calculations!$D25,0))</f>
        <v>8761.006289308176</v>
      </c>
      <c r="L85" s="46">
        <f>IF(Calculations!$E25&gt;COUNT(Output!$B$35:L$35),Calculations!$B25,IF(Calculations!$E25=COUNT(Output!$B$35:L$35),Inputs!$B58-Calculations!$C25*(Calculations!$E25-1)+Calculations!$D25,0))</f>
        <v>8761.006289308176</v>
      </c>
      <c r="M85" s="46">
        <f>IF(Calculations!$E25&gt;COUNT(Output!$B$35:M$35),Calculations!$B25,IF(Calculations!$E25=COUNT(Output!$B$35:M$35),Inputs!$B58-Calculations!$C25*(Calculations!$E25-1)+Calculations!$D25,0))</f>
        <v>8761.006289308176</v>
      </c>
      <c r="N85" s="46">
        <f>IF(Calculations!$E25&gt;COUNT(Output!$B$35:N$35),Calculations!$B25,IF(Calculations!$E25=COUNT(Output!$B$35:N$35),Inputs!$B58-Calculations!$C25*(Calculations!$E25-1)+Calculations!$D25,0))</f>
        <v>8761.006289308176</v>
      </c>
      <c r="O85" s="46">
        <f>IF(Calculations!$E25&gt;COUNT(Output!$B$35:O$35),Calculations!$B25,IF(Calculations!$E25=COUNT(Output!$B$35:O$35),Inputs!$B58-Calculations!$C25*(Calculations!$E25-1)+Calculations!$D25,0))</f>
        <v>8761.006289308176</v>
      </c>
      <c r="P85" s="46">
        <f>IF(Calculations!$E25&gt;COUNT(Output!$B$35:P$35),Calculations!$B25,IF(Calculations!$E25=COUNT(Output!$B$35:P$35),Inputs!$B58-Calculations!$C25*(Calculations!$E25-1)+Calculations!$D25,0))</f>
        <v>8761.006289308176</v>
      </c>
      <c r="Q85" s="46">
        <f>IF(Calculations!$E25&gt;COUNT(Output!$B$35:Q$35),Calculations!$B25,IF(Calculations!$E25=COUNT(Output!$B$35:Q$35),Inputs!$B58-Calculations!$C25*(Calculations!$E25-1)+Calculations!$D25,0))</f>
        <v>8761.006289308176</v>
      </c>
      <c r="R85" s="46">
        <f>IF(Calculations!$E25&gt;COUNT(Output!$B$35:R$35),Calculations!$B25,IF(Calculations!$E25=COUNT(Output!$B$35:R$35),Inputs!$B58-Calculations!$C25*(Calculations!$E25-1)+Calculations!$D25,0))</f>
        <v>8761.006289308176</v>
      </c>
      <c r="S85" s="46">
        <f>IF(Calculations!$E25&gt;COUNT(Output!$B$35:S$35),Calculations!$B25,IF(Calculations!$E25=COUNT(Output!$B$35:S$35),Inputs!$B58-Calculations!$C25*(Calculations!$E25-1)+Calculations!$D25,0))</f>
        <v>8761.006289308176</v>
      </c>
      <c r="T85" s="46">
        <f>IF(Calculations!$E25&gt;COUNT(Output!$B$35:T$35),Calculations!$B25,IF(Calculations!$E25=COUNT(Output!$B$35:T$35),Inputs!$B58-Calculations!$C25*(Calculations!$E25-1)+Calculations!$D25,0))</f>
        <v>8761.006289308176</v>
      </c>
      <c r="U85" s="46">
        <f>IF(Calculations!$E25&gt;COUNT(Output!$B$35:U$35),Calculations!$B25,IF(Calculations!$E25=COUNT(Output!$B$35:U$35),Inputs!$B58-Calculations!$C25*(Calculations!$E25-1)+Calculations!$D25,0))</f>
        <v>79874.213836478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166459.1194968553</v>
      </c>
      <c r="AA85" s="46">
        <f>SUM(B85:M85)</f>
        <v>105132.0754716981</v>
      </c>
      <c r="AB85" s="46">
        <f>SUM(B85:Y85)</f>
        <v>246333.3333333333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7270.722057368941</v>
      </c>
      <c r="C86" s="46">
        <f>IF(Calculations!$E26&gt;COUNT(Output!$B$35:C$35),Calculations!$B26,IF(Calculations!$E26=COUNT(Output!$B$35:C$35),Inputs!$B59-Calculations!$C26*(Calculations!$E26-1)+Calculations!$D26,0))</f>
        <v>7270.722057368941</v>
      </c>
      <c r="D86" s="46">
        <f>IF(Calculations!$E26&gt;COUNT(Output!$B$35:D$35),Calculations!$B26,IF(Calculations!$E26=COUNT(Output!$B$35:D$35),Inputs!$B59-Calculations!$C26*(Calculations!$E26-1)+Calculations!$D26,0))</f>
        <v>7270.722057368941</v>
      </c>
      <c r="E86" s="46">
        <f>IF(Calculations!$E26&gt;COUNT(Output!$B$35:E$35),Calculations!$B26,IF(Calculations!$E26=COUNT(Output!$B$35:E$35),Inputs!$B59-Calculations!$C26*(Calculations!$E26-1)+Calculations!$D26,0))</f>
        <v>7270.722057368941</v>
      </c>
      <c r="F86" s="46">
        <f>IF(Calculations!$E26&gt;COUNT(Output!$B$35:F$35),Calculations!$B26,IF(Calculations!$E26=COUNT(Output!$B$35:F$35),Inputs!$B59-Calculations!$C26*(Calculations!$E26-1)+Calculations!$D26,0))</f>
        <v>7270.722057368941</v>
      </c>
      <c r="G86" s="46">
        <f>IF(Calculations!$E26&gt;COUNT(Output!$B$35:G$35),Calculations!$B26,IF(Calculations!$E26=COUNT(Output!$B$35:G$35),Inputs!$B59-Calculations!$C26*(Calculations!$E26-1)+Calculations!$D26,0))</f>
        <v>13566.38971315529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49920</v>
      </c>
      <c r="AA86" s="46">
        <f>SUM(B86:M86)</f>
        <v>49920</v>
      </c>
      <c r="AB86" s="46">
        <f>SUM(B86:Y86)</f>
        <v>49920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80427.24481875928</v>
      </c>
      <c r="C88" s="19">
        <f>SUM(C72:C82,C66,C60,C54,C48,C42,C36)</f>
        <v>80427.24481875928</v>
      </c>
      <c r="D88" s="19">
        <f>SUM(D72:D82,D66,D60,D54,D48,D42,D36)</f>
        <v>80427.24481875928</v>
      </c>
      <c r="E88" s="19">
        <f>SUM(E72:E82,E66,E60,E54,E48,E42,E36)</f>
        <v>80427.24481875928</v>
      </c>
      <c r="F88" s="19">
        <f>SUM(F72:F82,F66,F60,F54,F48,F42,F36)</f>
        <v>80427.24481875928</v>
      </c>
      <c r="G88" s="19">
        <f>SUM(G72:G82,G66,G60,G54,G48,G42,G36)</f>
        <v>86722.91247454564</v>
      </c>
      <c r="H88" s="19">
        <f>SUM(H72:H82,H66,H60,H54,H48,H42,H36)</f>
        <v>73156.52276139034</v>
      </c>
      <c r="I88" s="19">
        <f>SUM(I72:I82,I66,I60,I54,I48,I42,I36)</f>
        <v>73156.52276139034</v>
      </c>
      <c r="J88" s="19">
        <f>SUM(J72:J82,J66,J60,J54,J48,J42,J36)</f>
        <v>73156.52276139034</v>
      </c>
      <c r="K88" s="19">
        <f>SUM(K72:K82,K66,K60,K54,K48,K42,K36)</f>
        <v>73156.52276139034</v>
      </c>
      <c r="L88" s="19">
        <f>SUM(L72:L82,L66,L60,L54,L48,L42,L36)</f>
        <v>73156.52276139034</v>
      </c>
      <c r="M88" s="19">
        <f>SUM(M72:M82,M66,M60,M54,M48,M42,M36)</f>
        <v>73156.52276139034</v>
      </c>
      <c r="N88" s="19">
        <f>SUM(N72:N82,N66,N60,N54,N48,N42,N36)</f>
        <v>73156.52276139034</v>
      </c>
      <c r="O88" s="19">
        <f>SUM(O72:O82,O66,O60,O54,O48,O42,O36)</f>
        <v>73156.52276139034</v>
      </c>
      <c r="P88" s="19">
        <f>SUM(P72:P82,P66,P60,P54,P48,P42,P36)</f>
        <v>73156.52276139034</v>
      </c>
      <c r="Q88" s="19">
        <f>SUM(Q72:Q82,Q66,Q60,Q54,Q48,Q42,Q36)</f>
        <v>73156.52276139034</v>
      </c>
      <c r="R88" s="19">
        <f>SUM(R72:R82,R66,R60,R54,R48,R42,R36)</f>
        <v>73156.52276139034</v>
      </c>
      <c r="S88" s="19">
        <f>SUM(S72:S82,S66,S60,S54,S48,S42,S36)</f>
        <v>73156.52276139034</v>
      </c>
      <c r="T88" s="19">
        <f>SUM(T72:T82,T66,T60,T54,T48,T42,T36)</f>
        <v>73156.52276139034</v>
      </c>
      <c r="U88" s="19">
        <f>SUM(U72:U82,U66,U60,U54,U48,U42,U36)</f>
        <v>144269.7303085602</v>
      </c>
      <c r="V88" s="19">
        <f>SUM(V72:V82,V66,V60,V54,V48,V42,V36)</f>
        <v>64395.51647208217</v>
      </c>
      <c r="W88" s="19">
        <f>SUM(W72:W82,W66,W60,W54,W48,W42,W36)</f>
        <v>64395.51647208217</v>
      </c>
      <c r="X88" s="19">
        <f>SUM(X72:X82,X66,X60,X54,X48,X42,X36)</f>
        <v>64395.51647208217</v>
      </c>
      <c r="Y88" s="19">
        <f>SUM(Y72:Y82,Y66,Y60,Y54,Y48,Y42,Y36)</f>
        <v>64395.51647208217</v>
      </c>
      <c r="Z88" s="19">
        <f>SUMIF($B$13:$Y$13,"Yes",B88:Y88)</f>
        <v>1439893.932466416</v>
      </c>
      <c r="AA88" s="19">
        <f>SUM(B88:M88)</f>
        <v>927798.273136684</v>
      </c>
      <c r="AB88" s="19">
        <f>SUM(B88:Y88)</f>
        <v>1841745.728663305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420000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7330000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417920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552920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3</v>
      </c>
      <c r="D19" s="145">
        <v>3</v>
      </c>
      <c r="E19" s="20"/>
      <c r="F19" s="145" t="s">
        <v>91</v>
      </c>
      <c r="G19" s="20"/>
      <c r="H19" s="20"/>
      <c r="I19" s="145" t="s">
        <v>107</v>
      </c>
      <c r="J19" s="145">
        <v>5</v>
      </c>
      <c r="K19" s="145"/>
      <c r="L19" s="25"/>
    </row>
    <row r="20" spans="1:48">
      <c r="A20" s="143" t="s">
        <v>108</v>
      </c>
      <c r="B20" s="16"/>
      <c r="C20" s="143">
        <v>2</v>
      </c>
      <c r="D20" s="147"/>
      <c r="E20" s="16"/>
      <c r="F20" s="147" t="s">
        <v>91</v>
      </c>
      <c r="G20" s="16"/>
      <c r="H20" s="16"/>
      <c r="I20" s="147" t="s">
        <v>107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55000</v>
      </c>
    </row>
    <row r="31" spans="1:48">
      <c r="A31" s="5" t="s">
        <v>115</v>
      </c>
      <c r="B31" s="158">
        <v>15000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123</v>
      </c>
    </row>
    <row r="45" spans="1:48">
      <c r="A45" s="56" t="s">
        <v>129</v>
      </c>
      <c r="B45" s="161">
        <v>450000</v>
      </c>
    </row>
    <row r="46" spans="1:48" customHeight="1" ht="30">
      <c r="A46" s="57" t="s">
        <v>130</v>
      </c>
      <c r="B46" s="161">
        <v>150000</v>
      </c>
    </row>
    <row r="47" spans="1:48" customHeight="1" ht="30">
      <c r="A47" s="57" t="s">
        <v>131</v>
      </c>
      <c r="B47" s="161">
        <v>420000</v>
      </c>
    </row>
    <row r="48" spans="1:48" customHeight="1" ht="30">
      <c r="A48" s="57" t="s">
        <v>132</v>
      </c>
      <c r="B48" s="161">
        <v>5000000</v>
      </c>
    </row>
    <row r="49" spans="1:48" customHeight="1" ht="30">
      <c r="A49" s="57" t="s">
        <v>133</v>
      </c>
      <c r="B49" s="161">
        <v>60000</v>
      </c>
    </row>
    <row r="50" spans="1:48">
      <c r="A50" s="43"/>
      <c r="B50" s="36"/>
    </row>
    <row r="51" spans="1:48">
      <c r="A51" s="58" t="s">
        <v>134</v>
      </c>
      <c r="B51" s="161">
        <v>15000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225000</v>
      </c>
      <c r="B56" s="159">
        <v>206000</v>
      </c>
      <c r="C56" s="162" t="s">
        <v>142</v>
      </c>
      <c r="D56" s="163" t="s">
        <v>143</v>
      </c>
      <c r="E56" s="163" t="s">
        <v>91</v>
      </c>
      <c r="F56" s="163" t="s">
        <v>144</v>
      </c>
    </row>
    <row r="57" spans="1:48">
      <c r="A57" s="157">
        <v>100000</v>
      </c>
      <c r="B57" s="157">
        <v>0</v>
      </c>
      <c r="C57" s="164" t="s">
        <v>145</v>
      </c>
      <c r="D57" s="165" t="s">
        <v>143</v>
      </c>
      <c r="E57" s="165" t="s">
        <v>123</v>
      </c>
      <c r="F57" s="165" t="s">
        <v>144</v>
      </c>
    </row>
    <row r="58" spans="1:48">
      <c r="A58" s="157">
        <v>200000</v>
      </c>
      <c r="B58" s="157">
        <v>173000</v>
      </c>
      <c r="C58" s="164" t="s">
        <v>146</v>
      </c>
      <c r="D58" s="165" t="s">
        <v>143</v>
      </c>
      <c r="E58" s="165" t="s">
        <v>123</v>
      </c>
      <c r="F58" s="165" t="s">
        <v>144</v>
      </c>
    </row>
    <row r="59" spans="1:48">
      <c r="A59" s="157">
        <v>100000</v>
      </c>
      <c r="B59" s="157">
        <v>38920</v>
      </c>
      <c r="C59" s="164" t="s">
        <v>147</v>
      </c>
      <c r="D59" s="165" t="s">
        <v>148</v>
      </c>
      <c r="E59" s="165" t="s">
        <v>91</v>
      </c>
      <c r="F59" s="165" t="s">
        <v>149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151</v>
      </c>
      <c r="C65" s="10" t="s">
        <v>152</v>
      </c>
    </row>
    <row r="66" spans="1:48">
      <c r="A66" s="142" t="s">
        <v>153</v>
      </c>
      <c r="B66" s="159">
        <v>388000</v>
      </c>
      <c r="C66" s="163">
        <v>320000</v>
      </c>
      <c r="D66" s="49">
        <f>INDEX(Parameters!$D$79:$D$90,MATCH(Inputs!A66,Parameters!$C$79:$C$90,0))</f>
        <v>2</v>
      </c>
    </row>
    <row r="67" spans="1:48">
      <c r="A67" s="143" t="s">
        <v>154</v>
      </c>
      <c r="B67" s="157">
        <v>138000</v>
      </c>
      <c r="C67" s="165">
        <v>94000</v>
      </c>
      <c r="D67" s="49">
        <f>INDEX(Parameters!$D$79:$D$90,MATCH(Inputs!A67,Parameters!$C$79:$C$90,0))</f>
        <v>1</v>
      </c>
    </row>
    <row r="68" spans="1:48">
      <c r="A68" s="143" t="s">
        <v>155</v>
      </c>
      <c r="B68" s="157">
        <v>143000</v>
      </c>
      <c r="C68" s="165">
        <v>75000</v>
      </c>
      <c r="D68" s="49">
        <f>INDEX(Parameters!$D$79:$D$90,MATCH(Inputs!A68,Parameters!$C$79:$C$90,0))</f>
        <v>12</v>
      </c>
    </row>
    <row r="69" spans="1:48">
      <c r="A69" s="143" t="s">
        <v>156</v>
      </c>
      <c r="B69" s="157">
        <v>256000</v>
      </c>
      <c r="C69" s="165">
        <v>195000</v>
      </c>
      <c r="D69" s="49">
        <f>INDEX(Parameters!$D$79:$D$90,MATCH(Inputs!A69,Parameters!$C$79:$C$90,0))</f>
        <v>11</v>
      </c>
    </row>
    <row r="70" spans="1:48">
      <c r="A70" s="143" t="s">
        <v>157</v>
      </c>
      <c r="B70" s="157">
        <v>412000</v>
      </c>
      <c r="C70" s="165">
        <v>355000</v>
      </c>
      <c r="D70" s="49">
        <f>INDEX(Parameters!$D$79:$D$90,MATCH(Inputs!A70,Parameters!$C$79:$C$90,0))</f>
        <v>10</v>
      </c>
    </row>
    <row r="71" spans="1:48">
      <c r="A71" s="144" t="s">
        <v>158</v>
      </c>
      <c r="B71" s="158">
        <v>330000</v>
      </c>
      <c r="C71" s="167">
        <v>245000</v>
      </c>
      <c r="D71" s="49">
        <f>INDEX(Parameters!$D$79:$D$90,MATCH(Inputs!A71,Parameters!$C$79:$C$90,0))</f>
        <v>9</v>
      </c>
    </row>
    <row r="73" spans="1:48">
      <c r="A73" s="3" t="s">
        <v>159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160</v>
      </c>
      <c r="B75" s="161">
        <v>13</v>
      </c>
    </row>
    <row r="76" spans="1:48">
      <c r="A76" t="s">
        <v>161</v>
      </c>
      <c r="B76" s="168" t="s">
        <v>162</v>
      </c>
    </row>
    <row r="78" spans="1:48" customHeight="1" ht="20.25">
      <c r="B78" s="127" t="s">
        <v>163</v>
      </c>
    </row>
    <row r="79" spans="1:48">
      <c r="A79" t="s">
        <v>164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120000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18</v>
      </c>
    </row>
    <row r="86" spans="1:48">
      <c r="A86" t="s">
        <v>173</v>
      </c>
      <c r="B86" s="161">
        <v>5</v>
      </c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42826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277610.088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23750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9.5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296471.25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1.7</v>
      </c>
      <c r="H15" s="121">
        <f>IFERROR(IF(B15="meat",INDEX(Parameters!$A$22:$P$29,MATCH(Calculations!A15,Parameters!$A$22:$A$29,0),MATCH(Parameters!$I$22,Parameters!$A$22:$P$22,0))*G15,""),"")</f>
        <v>170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26066.66666666667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1200</v>
      </c>
      <c r="S15" s="64">
        <f>IFERROR(D15*INDEX(Parameters!$A$22:$P$29,MATCH(Calculations!$A15,Parameters!$A$22:$A$29,0),MATCH(Parameters!$N$22,Parameters!$A$22:$P$22,0)),"")</f>
        <v>1400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225000</v>
      </c>
      <c r="B23" s="75">
        <f>SUM(C23:D23)</f>
        <v>6519.957983193277</v>
      </c>
      <c r="C23" s="75">
        <f>IF(Inputs!B56&gt;0,(Inputs!A56-Inputs!B56)/(DATE(YEAR(Inputs!$B$76),MONTH(Inputs!$B$76),DAY(Inputs!$B$76))-DATE(YEAR(Inputs!C56),MONTH(Inputs!C56),DAY(Inputs!C56)))*30,0)</f>
        <v>2394.957983193277</v>
      </c>
      <c r="D23" s="75">
        <f>IF(Inputs!B56&gt;0,Inputs!A56*0.22/12,0)</f>
        <v>4125</v>
      </c>
      <c r="E23" s="75">
        <f>IFERROR(ROUNDUP(Inputs!B56/C23,0),0)</f>
        <v>87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8761.006289308176</v>
      </c>
      <c r="C25" s="46">
        <f>IF(Inputs!B58&gt;0,(Inputs!A58-Inputs!B58)/(DATE(YEAR(Inputs!$B$76),MONTH(Inputs!$B$76),DAY(Inputs!$B$76))-DATE(YEAR(Inputs!C58),MONTH(Inputs!C58),DAY(Inputs!C58)))*30,0)</f>
        <v>5094.339622641509</v>
      </c>
      <c r="D25" s="46">
        <f>IF(Inputs!B58&gt;0,Inputs!A58*0.22/12,0)</f>
        <v>3666.666666666667</v>
      </c>
      <c r="E25" s="46">
        <f>IFERROR(ROUNDUP(Inputs!B58/B25,0),0)</f>
        <v>20</v>
      </c>
    </row>
    <row r="26" spans="1:52">
      <c r="A26" s="46">
        <f>Inputs!A59</f>
        <v>100000</v>
      </c>
      <c r="B26" s="46">
        <f>SUM(C26:D26)</f>
        <v>7270.722057368941</v>
      </c>
      <c r="C26" s="46">
        <f>IF(Inputs!B59&gt;0,(Inputs!A59-Inputs!B59)/(DATE(YEAR(Inputs!$B$76),MONTH(Inputs!$B$76),DAY(Inputs!$B$76))-DATE(YEAR(Inputs!C59),MONTH(Inputs!C59),DAY(Inputs!C59)))*30,0)</f>
        <v>5437.388724035608</v>
      </c>
      <c r="D26" s="46">
        <f>IF(Inputs!B59&gt;0,Inputs!A59*0.22/12,0)</f>
        <v>1833.333333333333</v>
      </c>
      <c r="E26" s="46">
        <f>IFERROR(ROUNDUP(Inputs!B59/B26,0),0)</f>
        <v>6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42832</v>
      </c>
      <c r="C33" s="27">
        <f>IF(B33&lt;&gt;"",IF(COUNT($A$33:A33)&lt;=$G$39,0,$G$41)+IF(COUNT($A$33:A33)&lt;=$G$40,0,$G$42),0)</f>
        <v>1800</v>
      </c>
      <c r="D33" s="170">
        <f>IFERROR(DATE(YEAR(B33),MONTH(B33),1)," ")</f>
        <v>42826</v>
      </c>
      <c r="F33" t="s">
        <v>164</v>
      </c>
      <c r="G33" s="128">
        <f>IF(Inputs!B79="","",DATE(YEAR(Inputs!B79),MONTH(Inputs!B79),DAY(Inputs!B79)))</f>
        <v>42801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42862</v>
      </c>
      <c r="C34" s="27">
        <f>IF(B34&lt;&gt;"",IF(COUNT($A$33:A34)&lt;=$G$39,0,$G$41)+IF(COUNT($A$33:A34)&lt;=$G$40,0,$G$42),0)</f>
        <v>1800</v>
      </c>
      <c r="D34" s="170">
        <f>IFERROR(DATE(YEAR(B34),MONTH(B34),1)," ")</f>
        <v>42856</v>
      </c>
      <c r="F34" t="s">
        <v>165</v>
      </c>
      <c r="G34" s="128">
        <f>IF(Inputs!B80="","",DATE(YEAR(Inputs!B80),MONTH(Inputs!B80),DAY(Inputs!B80)))</f>
        <v>42832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42893</v>
      </c>
      <c r="C35" s="27">
        <f>IF(B35&lt;&gt;"",IF(COUNT($A$33:A35)&lt;=$G$39,0,$G$41)+IF(COUNT($A$33:A35)&lt;=$G$40,0,$G$42),0)</f>
        <v>1800</v>
      </c>
      <c r="D35" s="170">
        <f>IFERROR(DATE(YEAR(B35),MONTH(B35),1)," ")</f>
        <v>42887</v>
      </c>
      <c r="F35" t="s">
        <v>167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42923</v>
      </c>
      <c r="C36" s="27">
        <f>IF(B36&lt;&gt;"",IF(COUNT($A$33:A36)&lt;=$G$39,0,$G$41)+IF(COUNT($A$33:A36)&lt;=$G$40,0,$G$42),0)</f>
        <v>1800</v>
      </c>
      <c r="D36" s="170">
        <f>IFERROR(DATE(YEAR(B36),MONTH(B36),1)," ")</f>
        <v>42917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42954</v>
      </c>
      <c r="C37" s="27">
        <f>IF(B37&lt;&gt;"",IF(COUNT($A$33:A37)&lt;=$G$39,0,$G$41)+IF(COUNT($A$33:A37)&lt;=$G$40,0,$G$42),0)</f>
        <v>1800</v>
      </c>
      <c r="D37" s="170">
        <f>IFERROR(DATE(YEAR(B37),MONTH(B37),1)," ")</f>
        <v>42948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42985</v>
      </c>
      <c r="C38" s="27">
        <f>IF(B38&lt;&gt;"",IF(COUNT($A$33:A38)&lt;=$G$39,0,$G$41)+IF(COUNT($A$33:A38)&lt;=$G$40,0,$G$42),0)</f>
        <v>11030.76923076923</v>
      </c>
      <c r="D38" s="170">
        <f>IFERROR(DATE(YEAR(B38),MONTH(B38),1)," ")</f>
        <v>42979</v>
      </c>
      <c r="F38" t="s">
        <v>230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43015</v>
      </c>
      <c r="C39" s="27">
        <f>IF(B39&lt;&gt;"",IF(COUNT($A$33:A39)&lt;=$G$39,0,$G$41)+IF(COUNT($A$33:A39)&lt;=$G$40,0,$G$42),0)</f>
        <v>11030.76923076923</v>
      </c>
      <c r="D39" s="170">
        <f>IFERROR(DATE(YEAR(B39),MONTH(B39),1)," ")</f>
        <v>43009</v>
      </c>
      <c r="F39" t="s">
        <v>173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43046</v>
      </c>
      <c r="C40" s="27">
        <f>IF(B40&lt;&gt;"",IF(COUNT($A$33:A40)&lt;=$G$39,0,$G$41)+IF(COUNT($A$33:A40)&lt;=$G$40,0,$G$42),0)</f>
        <v>11030.76923076923</v>
      </c>
      <c r="D40" s="170">
        <f>IFERROR(DATE(YEAR(B40),MONTH(B40),1)," ")</f>
        <v>43040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43076</v>
      </c>
      <c r="C41" s="27">
        <f>IF(B41&lt;&gt;"",IF(COUNT($A$33:A41)&lt;=$G$39,0,$G$41)+IF(COUNT($A$33:A41)&lt;=$G$40,0,$G$42),0)</f>
        <v>11030.76923076923</v>
      </c>
      <c r="D41" s="170">
        <f>IFERROR(DATE(YEAR(B41),MONTH(B41),1)," ")</f>
        <v>43070</v>
      </c>
      <c r="F41" t="s">
        <v>231</v>
      </c>
      <c r="G41" s="73">
        <f>IFERROR(G35/(G38-G39),"")</f>
        <v>9230.76923076923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43107</v>
      </c>
      <c r="C42" s="27">
        <f>IF(B42&lt;&gt;"",IF(COUNT($A$33:A42)&lt;=$G$39,0,$G$41)+IF(COUNT($A$33:A42)&lt;=$G$40,0,$G$42),0)</f>
        <v>11030.76923076923</v>
      </c>
      <c r="D42" s="170">
        <f>IFERROR(DATE(YEAR(B42),MONTH(B42),1)," ")</f>
        <v>43101</v>
      </c>
      <c r="F42" t="s">
        <v>232</v>
      </c>
      <c r="G42" s="73">
        <f>IFERROR(G35*G36*IF(G37="Monthly",G38/12,IF(G37="Fortnightly",G38/(365/14),G38/(365/28)))/(G38-G40),"")</f>
        <v>1800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43138</v>
      </c>
      <c r="C43" s="27">
        <f>IF(B43&lt;&gt;"",IF(COUNT($A$33:A43)&lt;=$G$39,0,$G$41)+IF(COUNT($A$33:A43)&lt;=$G$40,0,$G$42),0)</f>
        <v>11030.76923076923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43166</v>
      </c>
      <c r="C44" s="27">
        <f>IF(B44&lt;&gt;"",IF(COUNT($A$33:A44)&lt;=$G$39,0,$G$41)+IF(COUNT($A$33:A44)&lt;=$G$40,0,$G$42),0)</f>
        <v>11030.76923076923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43197</v>
      </c>
      <c r="C45" s="27">
        <f>IF(B45&lt;&gt;"",IF(COUNT($A$33:A45)&lt;=$G$39,0,$G$41)+IF(COUNT($A$33:A45)&lt;=$G$40,0,$G$42),0)</f>
        <v>11030.76923076923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43227</v>
      </c>
      <c r="C46" s="27">
        <f>IF(B46&lt;&gt;"",IF(COUNT($A$33:A46)&lt;=$G$39,0,$G$41)+IF(COUNT($A$33:A46)&lt;=$G$40,0,$G$42),0)</f>
        <v>11030.76923076923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43258</v>
      </c>
      <c r="C47" s="27">
        <f>IF(B47&lt;&gt;"",IF(COUNT($A$33:A47)&lt;=$G$39,0,$G$41)+IF(COUNT($A$33:A47)&lt;=$G$40,0,$G$42),0)</f>
        <v>11030.76923076923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43288</v>
      </c>
      <c r="C48" s="27">
        <f>IF(B48&lt;&gt;"",IF(COUNT($A$33:A48)&lt;=$G$39,0,$G$41)+IF(COUNT($A$33:A48)&lt;=$G$40,0,$G$42),0)</f>
        <v>11030.76923076923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43319</v>
      </c>
      <c r="C49" s="27">
        <f>IF(B49&lt;&gt;"",IF(COUNT($A$33:A49)&lt;=$G$39,0,$G$41)+IF(COUNT($A$33:A49)&lt;=$G$40,0,$G$42),0)</f>
        <v>11030.76923076923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43350</v>
      </c>
      <c r="C50" s="27">
        <f>IF(B50&lt;&gt;"",IF(COUNT($A$33:A50)&lt;=$G$39,0,$G$41)+IF(COUNT($A$33:A50)&lt;=$G$40,0,$G$42),0)</f>
        <v>11030.76923076923</v>
      </c>
      <c r="D50" s="170">
        <f>IFERROR(DATE(YEAR(B50),MONTH(B50),1)," ")</f>
        <v>43344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283</v>
      </c>
      <c r="C22" s="10" t="s">
        <v>284</v>
      </c>
      <c r="D22" s="10" t="s">
        <v>285</v>
      </c>
      <c r="E22" s="10" t="s">
        <v>286</v>
      </c>
      <c r="F22" s="10" t="s">
        <v>287</v>
      </c>
      <c r="G22" s="10" t="s">
        <v>288</v>
      </c>
      <c r="H22" s="10" t="s">
        <v>289</v>
      </c>
      <c r="I22" s="10" t="s">
        <v>205</v>
      </c>
      <c r="J22" s="10" t="s">
        <v>290</v>
      </c>
      <c r="K22" s="10" t="s">
        <v>291</v>
      </c>
      <c r="L22" s="10" t="s">
        <v>292</v>
      </c>
      <c r="M22" s="10" t="s">
        <v>293</v>
      </c>
      <c r="N22" s="10" t="s">
        <v>294</v>
      </c>
      <c r="O22" s="10" t="s">
        <v>295</v>
      </c>
      <c r="P22" s="10" t="s">
        <v>296</v>
      </c>
    </row>
    <row r="23" spans="1:36" s="21" customFormat="1">
      <c r="A23" s="21" t="s">
        <v>297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266</v>
      </c>
      <c r="D24" s="115" t="s">
        <v>266</v>
      </c>
      <c r="E24" s="106">
        <v>0.05</v>
      </c>
      <c r="F24" s="106">
        <v>0.1</v>
      </c>
      <c r="G24" s="106">
        <v>0.2</v>
      </c>
      <c r="H24" s="116" t="s">
        <v>266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266</v>
      </c>
      <c r="J25" s="72" t="s">
        <v>266</v>
      </c>
      <c r="K25" s="72" t="s">
        <v>266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301</v>
      </c>
      <c r="C26" s="116" t="s">
        <v>266</v>
      </c>
      <c r="D26" s="115" t="s">
        <v>266</v>
      </c>
      <c r="E26" s="106">
        <v>0.2</v>
      </c>
      <c r="F26" s="106">
        <v>0.7</v>
      </c>
      <c r="G26" s="106">
        <v>2</v>
      </c>
      <c r="H26" s="116" t="s">
        <v>266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301</v>
      </c>
      <c r="C27" s="116" t="s">
        <v>266</v>
      </c>
      <c r="D27" s="115" t="s">
        <v>266</v>
      </c>
      <c r="E27" s="106">
        <v>0.15</v>
      </c>
      <c r="F27" s="106">
        <v>0.25</v>
      </c>
      <c r="G27" s="106">
        <v>1</v>
      </c>
      <c r="H27" s="116" t="s">
        <v>266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301</v>
      </c>
      <c r="C28" s="116" t="s">
        <v>266</v>
      </c>
      <c r="D28" s="115" t="s">
        <v>266</v>
      </c>
      <c r="E28" s="106">
        <v>0.15</v>
      </c>
      <c r="F28" s="106">
        <v>0.25</v>
      </c>
      <c r="G28" s="106">
        <v>1</v>
      </c>
      <c r="H28" s="116" t="s">
        <v>266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301</v>
      </c>
      <c r="C29" s="31" t="s">
        <v>266</v>
      </c>
      <c r="D29" s="31" t="s">
        <v>266</v>
      </c>
      <c r="E29" s="24">
        <v>0.1</v>
      </c>
      <c r="F29" s="24">
        <v>0.2</v>
      </c>
      <c r="G29" s="24">
        <v>0</v>
      </c>
      <c r="H29" s="31" t="s">
        <v>266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94</v>
      </c>
      <c r="B41" s="191" t="s">
        <v>91</v>
      </c>
      <c r="C41" s="191" t="s">
        <v>123</v>
      </c>
    </row>
    <row r="42" spans="1:36">
      <c r="A42" t="s">
        <v>297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274</v>
      </c>
      <c r="E52" s="12" t="s">
        <v>274</v>
      </c>
      <c r="F52" s="12" t="s">
        <v>274</v>
      </c>
      <c r="G52" s="12" t="s">
        <v>317</v>
      </c>
      <c r="H52" s="12" t="s">
        <v>127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233</v>
      </c>
      <c r="E53" s="10" t="s">
        <v>192</v>
      </c>
      <c r="F53" s="10" t="s">
        <v>252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123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123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123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123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123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123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123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123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123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123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123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170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229</v>
      </c>
      <c r="J76" s="11" t="s">
        <v>351</v>
      </c>
      <c r="K76" s="11" t="s">
        <v>182</v>
      </c>
      <c r="AJ76" s="12"/>
    </row>
    <row r="77" spans="1:36">
      <c r="A77" t="s">
        <v>123</v>
      </c>
      <c r="B77" s="176">
        <v>0</v>
      </c>
      <c r="C77" s="12" t="s">
        <v>352</v>
      </c>
      <c r="E77" s="12" t="s">
        <v>91</v>
      </c>
      <c r="F77" s="12" t="s">
        <v>91</v>
      </c>
      <c r="G77" s="12" t="s">
        <v>353</v>
      </c>
      <c r="H77" s="12" t="s">
        <v>127</v>
      </c>
      <c r="I77" s="12" t="s">
        <v>354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318</v>
      </c>
      <c r="I78" s="12" t="s">
        <v>359</v>
      </c>
      <c r="J78" s="70" t="s">
        <v>360</v>
      </c>
      <c r="K78" s="12" t="s">
        <v>91</v>
      </c>
      <c r="AJ78" s="12"/>
    </row>
    <row r="79" spans="1:36">
      <c r="B79" s="176">
        <v>10</v>
      </c>
      <c r="C79" s="12" t="s">
        <v>154</v>
      </c>
      <c r="D79" s="12">
        <v>1</v>
      </c>
      <c r="E79" s="12" t="s">
        <v>361</v>
      </c>
      <c r="F79" s="12" t="s">
        <v>362</v>
      </c>
      <c r="G79" s="12" t="s">
        <v>107</v>
      </c>
      <c r="I79" s="12" t="s">
        <v>170</v>
      </c>
      <c r="J79" s="70" t="s">
        <v>363</v>
      </c>
      <c r="K79" s="12" t="s">
        <v>91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123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123</v>
      </c>
    </row>
    <row r="82" spans="1:36">
      <c r="B82" s="176">
        <v>40</v>
      </c>
      <c r="C82" s="12" t="s">
        <v>92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158</v>
      </c>
      <c r="D87" s="12">
        <f>D86+1</f>
        <v>9</v>
      </c>
    </row>
    <row r="88" spans="1:36">
      <c r="B88" s="176">
        <v>99.99999999999999</v>
      </c>
      <c r="C88" s="12" t="s">
        <v>157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