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<sst xmlns="http://schemas.openxmlformats.org/spreadsheetml/2006/main" uniqueCount="371">
  <si>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</si>
  <si>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</si>
  <si>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</si>
  <si>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</si>
  <si>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</si>
  <si>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</si>
  <si>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</si>
  <si>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</si>
  <si>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</si>
  <si>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</si>
  <si>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</si>
  <si>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</si>
  <si>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</si>
  <si>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</si>
  <si>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</si>
  <si>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</si>
  <si>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</si>
  <si>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</si>
  <si>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</si>
  <si>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</si>
  <si>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</si>
  <si>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</si>
  <si>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</si>
  <si>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</si>
  <si>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</si>
  <si>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</si>
  <si>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</si>
  <si>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</si>
  <si>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</si>
  <si>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</si>
  <si>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</si>
  <si>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</si>
  <si>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</si>
  <si>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</si>
  <si>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</si>
  <si>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</si>
  <si>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</si>
  <si>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</si>
  <si>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</si>
  <si>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</si>
  <si>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</si>
  <si>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</si>
  <si>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</si>
  <si>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</si>
  <si>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</si>
  <si>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</si>
  <si>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</si>
  <si>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</si>
  <si>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</si>
  <si>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</si>
  <si>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</si>
  <si>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</si>
  <si>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</si>
  <si>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</si>
  <si>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</si>
  <si>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</si>
  <si>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</si>
  <si>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</si>
  <si>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</si>
  <si>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</si>
  <si>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</si>
  <si>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</si>
  <si>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</si>
  <si>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</si>
  <si>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</si>
  <si>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</si>
  <si>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</si>
  <si>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</si>
  <si>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</si>
  <si>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</si>
  <si>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</si>
  <si>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</si>
  <si>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</si>
  <si>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</si>
  <si>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</si>
  <si>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</si>
  <si>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</si>
  <si>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</si>
  <si>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</si>
  <si>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</si>
  <si>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</si>
  <si>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</si>
  <si>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</si>
  <si>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</si>
  <si>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</si>
  <si>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</si>
  <si>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</si>
  <si>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</si>
  <si>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</si>
  <si>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</si>
  <si>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</si>
  <si>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</si>
  <si>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</si>
  <si>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</si>
  <si>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</si>
  <si>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</si>
  <si>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</si>
  <si>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</si>
  <si>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</si>
  <si>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</si>
  <si>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</si>
  <si>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</si>
  <si>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</si>
  <si>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</si>
  <si>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Sometimes</t>
  </si>
  <si>
    <t>Pigs</t>
  </si>
  <si>
    <t>Cows_dairy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</si>
  <si>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</si>
  <si>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</si>
  <si>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</si>
  <si>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</si>
  <si>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</si>
  <si>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Malimali shop,Mpesa and Equity agency,Juakali material production,White maize supply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</si>
  <si>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</si>
  <si>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</si>
  <si>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</si>
  <si>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</si>
  <si>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</si>
  <si>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</si>
  <si>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</si>
  <si>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</si>
  <si>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</si>
  <si>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</si>
  <si>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</si>
  <si>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</si>
  <si>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</si>
  <si>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</si>
  <si>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</si>
  <si>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</si>
  <si>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</si>
  <si>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</si>
  <si>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</si>
  <si>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</si>
  <si>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</si>
  <si>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</si>
  <si>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</si>
  <si>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</si>
  <si>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</si>
  <si>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</si>
  <si>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</si>
  <si>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12/9/2016</t>
  </si>
  <si>
    <t>Equity Bank</t>
  </si>
  <si>
    <t xml:space="preserve">No arrears </t>
  </si>
  <si>
    <t>10/6/2015</t>
  </si>
  <si>
    <t xml:space="preserve">Equity Bank </t>
  </si>
  <si>
    <t>No</t>
  </si>
  <si>
    <t xml:space="preserve">Ignorance of the client on importance of good timely payment 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</si>
  <si>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</si>
  <si>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</si>
  <si>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</si>
  <si>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</si>
  <si>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</si>
  <si>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</si>
  <si>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</si>
  <si>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</si>
  <si>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</si>
  <si>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</si>
  <si>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</si>
  <si>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</si>
  <si>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2017/3/8</t>
  </si>
  <si>
    <t>Loan terms</t>
  </si>
  <si>
    <t>Expected disbursement date</t>
  </si>
  <si>
    <t>Expected first repayment date</t>
  </si>
  <si>
    <t>2017/4/8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</si>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</sst>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Pigs, Cows_dairy, Chicken: sale of ex layers</v>
      </c>
    </row>
    <row r="8" spans="1:7">
      <c r="B8" s="1" t="s">
        <v>4</v>
      </c>
      <c r="C8" t="str">
        <f>IF(Inputs!B29="","None",Inputs!B29)</f>
        <v>Malimali shop,Mpesa and Equity agency,Juakali material production,White maize supply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0.1598494280623231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0.1353322528363047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31571.42857142857</v>
      </c>
    </row>
    <row r="17" spans="1:7">
      <c r="B17" s="1" t="s">
        <v>11</v>
      </c>
      <c r="C17" s="36">
        <f>SUM(Output!B6:M6)</f>
        <v>1178205.593143877</v>
      </c>
    </row>
    <row r="18" spans="1:7">
      <c r="B18" s="1" t="s">
        <v>12</v>
      </c>
      <c r="C18" s="36">
        <f>MIN(Output!B6:M6)</f>
        <v>98183.79942865641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2017</v>
      </c>
    </row>
    <row r="20" spans="1:7">
      <c r="B20" s="1" t="s">
        <v>14</v>
      </c>
      <c r="C20" s="36">
        <f>MAX(Output!B6:M6)</f>
        <v>98183.79942865641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98183.79942865641</v>
      </c>
      <c r="C6" s="51">
        <f>C30-C88</f>
        <v>98183.79942865641</v>
      </c>
      <c r="D6" s="51">
        <f>D30-D88</f>
        <v>98183.79942865641</v>
      </c>
      <c r="E6" s="51">
        <f>E30-E88</f>
        <v>98183.79942865641</v>
      </c>
      <c r="F6" s="51">
        <f>F30-F88</f>
        <v>98183.79942865641</v>
      </c>
      <c r="G6" s="51">
        <f>G30-G88</f>
        <v>98183.79942865641</v>
      </c>
      <c r="H6" s="51">
        <f>H30-H88</f>
        <v>98183.79942865641</v>
      </c>
      <c r="I6" s="51">
        <f>I30-I88</f>
        <v>98183.79942865641</v>
      </c>
      <c r="J6" s="51">
        <f>J30-J88</f>
        <v>98183.79942865641</v>
      </c>
      <c r="K6" s="51">
        <f>K30-K88</f>
        <v>98183.79942865641</v>
      </c>
      <c r="L6" s="51">
        <f>L30-L88</f>
        <v>98183.79942865641</v>
      </c>
      <c r="M6" s="51">
        <f>M30-M88</f>
        <v>98183.79942865641</v>
      </c>
      <c r="N6" s="51">
        <f>N30-N88</f>
        <v>98183.79942865641</v>
      </c>
      <c r="O6" s="51">
        <f>O30-O88</f>
        <v>98183.79942865641</v>
      </c>
      <c r="P6" s="51">
        <f>P30-P88</f>
        <v>98183.79942865641</v>
      </c>
      <c r="Q6" s="51">
        <f>Q30-Q88</f>
        <v>104683.7994286564</v>
      </c>
      <c r="R6" s="51">
        <f>R30-R88</f>
        <v>98183.79942865641</v>
      </c>
      <c r="S6" s="51">
        <f>S30-S88</f>
        <v>98183.79942865641</v>
      </c>
      <c r="T6" s="51">
        <f>T30-T88</f>
        <v>98183.79942865641</v>
      </c>
      <c r="U6" s="51">
        <f>U30-U88</f>
        <v>98183.79942865641</v>
      </c>
      <c r="V6" s="51">
        <f>V30-V88</f>
        <v>98183.79942865641</v>
      </c>
      <c r="W6" s="51">
        <f>W30-W88</f>
        <v>98183.79942865641</v>
      </c>
      <c r="X6" s="51">
        <f>X30-X88</f>
        <v>100031.257055775</v>
      </c>
      <c r="Y6" s="51">
        <f>Y30-Y88</f>
        <v>106188.036716792</v>
      </c>
      <c r="Z6" s="51">
        <f>SUMIF($B$13:$Y$13,"Yes",B6:Y6)</f>
        <v>1276389.392572534</v>
      </c>
      <c r="AA6" s="51">
        <f>AA30-AA88</f>
        <v>1178205.593143874</v>
      </c>
      <c r="AB6" s="51">
        <f>AB30-AB88</f>
        <v>2372762.881203003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22147</v>
      </c>
      <c r="H7" s="80">
        <f>IF(ISERROR(VLOOKUP(MONTH(H5),Inputs!$D$66:$D$71,1,0)),"",INDEX(Inputs!$B$66:$B$71,MATCH(MONTH(Output!H5),Inputs!$D$66:$D$71,0))-INDEX(Inputs!$C$66:$C$71,MATCH(MONTH(Output!H5),Inputs!$D$66:$D$71,0)))</f>
        <v>23587</v>
      </c>
      <c r="I7" s="80">
        <f>IF(ISERROR(VLOOKUP(MONTH(I5),Inputs!$D$66:$D$71,1,0)),"",INDEX(Inputs!$B$66:$B$71,MATCH(MONTH(Output!I5),Inputs!$D$66:$D$71,0))-INDEX(Inputs!$C$66:$C$71,MATCH(MONTH(Output!I5),Inputs!$D$66:$D$71,0)))</f>
        <v>27821</v>
      </c>
      <c r="J7" s="80">
        <f>IF(ISERROR(VLOOKUP(MONTH(J5),Inputs!$D$66:$D$71,1,0)),"",INDEX(Inputs!$B$66:$B$71,MATCH(MONTH(Output!J5),Inputs!$D$66:$D$71,0))-INDEX(Inputs!$C$66:$C$71,MATCH(MONTH(Output!J5),Inputs!$D$66:$D$71,0)))</f>
        <v>17897</v>
      </c>
      <c r="K7" s="80">
        <f>IF(ISERROR(VLOOKUP(MONTH(K5),Inputs!$D$66:$D$71,1,0)),"",INDEX(Inputs!$B$66:$B$71,MATCH(MONTH(Output!K5),Inputs!$D$66:$D$71,0))-INDEX(Inputs!$C$66:$C$71,MATCH(MONTH(Output!K5),Inputs!$D$66:$D$71,0)))</f>
        <v>18754</v>
      </c>
      <c r="L7" s="80">
        <f>IF(ISERROR(VLOOKUP(MONTH(L5),Inputs!$D$66:$D$71,1,0)),"",INDEX(Inputs!$B$66:$B$71,MATCH(MONTH(Output!L5),Inputs!$D$66:$D$71,0))-INDEX(Inputs!$C$66:$C$71,MATCH(MONTH(Output!L5),Inputs!$D$66:$D$71,0)))</f>
        <v>23578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22147</v>
      </c>
      <c r="T7" s="80">
        <f>IF(ISERROR(VLOOKUP(MONTH(T5),Inputs!$D$66:$D$71,1,0)),"",INDEX(Inputs!$B$66:$B$71,MATCH(MONTH(Output!T5),Inputs!$D$66:$D$71,0))-INDEX(Inputs!$C$66:$C$71,MATCH(MONTH(Output!T5),Inputs!$D$66:$D$71,0)))</f>
        <v>23587</v>
      </c>
      <c r="U7" s="80">
        <f>IF(ISERROR(VLOOKUP(MONTH(U5),Inputs!$D$66:$D$71,1,0)),"",INDEX(Inputs!$B$66:$B$71,MATCH(MONTH(Output!U5),Inputs!$D$66:$D$71,0))-INDEX(Inputs!$C$66:$C$71,MATCH(MONTH(Output!U5),Inputs!$D$66:$D$71,0)))</f>
        <v>27821</v>
      </c>
      <c r="V7" s="80">
        <f>IF(ISERROR(VLOOKUP(MONTH(V5),Inputs!$D$66:$D$71,1,0)),"",INDEX(Inputs!$B$66:$B$71,MATCH(MONTH(Output!V5),Inputs!$D$66:$D$71,0))-INDEX(Inputs!$C$66:$C$71,MATCH(MONTH(Output!V5),Inputs!$D$66:$D$71,0)))</f>
        <v>17897</v>
      </c>
      <c r="W7" s="80">
        <f>IF(ISERROR(VLOOKUP(MONTH(W5),Inputs!$D$66:$D$71,1,0)),"",INDEX(Inputs!$B$66:$B$71,MATCH(MONTH(Output!W5),Inputs!$D$66:$D$71,0))-INDEX(Inputs!$C$66:$C$71,MATCH(MONTH(Output!W5),Inputs!$D$66:$D$71,0)))</f>
        <v>18754</v>
      </c>
      <c r="X7" s="80">
        <f>IF(ISERROR(VLOOKUP(MONTH(X5),Inputs!$D$66:$D$71,1,0)),"",INDEX(Inputs!$B$66:$B$71,MATCH(MONTH(Output!X5),Inputs!$D$66:$D$71,0))-INDEX(Inputs!$C$66:$C$71,MATCH(MONTH(Output!X5),Inputs!$D$66:$D$71,0)))</f>
        <v>23578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</v>
      </c>
      <c r="D10" s="37">
        <f>SUMPRODUCT((Calculations!$D$33:$D$84=Output!D5)+0,Calculations!$C$33:$C$84)</f>
        <v>3000</v>
      </c>
      <c r="E10" s="37">
        <f>SUMPRODUCT((Calculations!$D$33:$D$84=Output!E5)+0,Calculations!$C$33:$C$84)</f>
        <v>3000</v>
      </c>
      <c r="F10" s="37">
        <f>SUMPRODUCT((Calculations!$D$33:$D$84=Output!F5)+0,Calculations!$C$33:$C$84)</f>
        <v>3000</v>
      </c>
      <c r="G10" s="37">
        <f>SUMPRODUCT((Calculations!$D$33:$D$84=Output!G5)+0,Calculations!$C$33:$C$84)</f>
        <v>3000</v>
      </c>
      <c r="H10" s="37">
        <f>SUMPRODUCT((Calculations!$D$33:$D$84=Output!H5)+0,Calculations!$C$33:$C$84)</f>
        <v>31571.42857142857</v>
      </c>
      <c r="I10" s="37">
        <f>SUMPRODUCT((Calculations!$D$33:$D$84=Output!I5)+0,Calculations!$C$33:$C$84)</f>
        <v>31571.42857142857</v>
      </c>
      <c r="J10" s="37">
        <f>SUMPRODUCT((Calculations!$D$33:$D$84=Output!J5)+0,Calculations!$C$33:$C$84)</f>
        <v>31571.42857142857</v>
      </c>
      <c r="K10" s="37">
        <f>SUMPRODUCT((Calculations!$D$33:$D$84=Output!K5)+0,Calculations!$C$33:$C$84)</f>
        <v>31571.42857142857</v>
      </c>
      <c r="L10" s="37">
        <f>SUMPRODUCT((Calculations!$D$33:$D$84=Output!L5)+0,Calculations!$C$33:$C$84)</f>
        <v>31571.42857142857</v>
      </c>
      <c r="M10" s="37">
        <f>SUMPRODUCT((Calculations!$D$33:$D$84=Output!M5)+0,Calculations!$C$33:$C$84)</f>
        <v>31571.42857142857</v>
      </c>
      <c r="N10" s="37">
        <f>SUMPRODUCT((Calculations!$D$33:$D$84=Output!N5)+0,Calculations!$C$33:$C$84)</f>
        <v>31571.42857142857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236000</v>
      </c>
      <c r="AA10" s="37">
        <f>SUM(B10:M10)</f>
        <v>204428.5714285714</v>
      </c>
      <c r="AB10" s="37">
        <f>SUM(B10:Y10)</f>
        <v>236000</v>
      </c>
    </row>
    <row r="11" spans="1:30" customHeight="1" ht="15.75">
      <c r="A11" s="43" t="s">
        <v>31</v>
      </c>
      <c r="B11" s="80">
        <f>B6+B9-B10</f>
        <v>298183.7994286564</v>
      </c>
      <c r="C11" s="80">
        <f>C6+C9-C10</f>
        <v>95183.79942865641</v>
      </c>
      <c r="D11" s="80">
        <f>D6+D9-D10</f>
        <v>95183.79942865641</v>
      </c>
      <c r="E11" s="80">
        <f>E6+E9-E10</f>
        <v>95183.79942865641</v>
      </c>
      <c r="F11" s="80">
        <f>F6+F9-F10</f>
        <v>95183.79942865641</v>
      </c>
      <c r="G11" s="80">
        <f>G6+G9-G10</f>
        <v>95183.79942865641</v>
      </c>
      <c r="H11" s="80">
        <f>H6+H9-H10</f>
        <v>66612.37085722783</v>
      </c>
      <c r="I11" s="80">
        <f>I6+I9-I10</f>
        <v>66612.37085722783</v>
      </c>
      <c r="J11" s="80">
        <f>J6+J9-J10</f>
        <v>66612.37085722783</v>
      </c>
      <c r="K11" s="80">
        <f>K6+K9-K10</f>
        <v>66612.37085722783</v>
      </c>
      <c r="L11" s="80">
        <f>L6+L9-L10</f>
        <v>66612.37085722783</v>
      </c>
      <c r="M11" s="80">
        <f>M6+M9-M10</f>
        <v>66612.37085722783</v>
      </c>
      <c r="N11" s="80">
        <f>N6+N9-N10</f>
        <v>66612.37085722783</v>
      </c>
      <c r="O11" s="80">
        <f>O6+O9-O10</f>
        <v>98183.79942865641</v>
      </c>
      <c r="P11" s="80">
        <f>P6+P9-P10</f>
        <v>98183.79942865641</v>
      </c>
      <c r="Q11" s="80">
        <f>Q6+Q9-Q10</f>
        <v>104683.7994286564</v>
      </c>
      <c r="R11" s="80">
        <f>R6+R9-R10</f>
        <v>98183.79942865641</v>
      </c>
      <c r="S11" s="80">
        <f>S6+S9-S10</f>
        <v>98183.79942865641</v>
      </c>
      <c r="T11" s="80">
        <f>T6+T9-T10</f>
        <v>98183.79942865641</v>
      </c>
      <c r="U11" s="80">
        <f>U6+U9-U10</f>
        <v>98183.79942865641</v>
      </c>
      <c r="V11" s="80">
        <f>V6+V9-V10</f>
        <v>98183.79942865641</v>
      </c>
      <c r="W11" s="80">
        <f>W6+W9-W10</f>
        <v>98183.79942865641</v>
      </c>
      <c r="X11" s="80">
        <f>X6+X9-X10</f>
        <v>100031.257055775</v>
      </c>
      <c r="Y11" s="80">
        <f>Y6+Y9-Y10</f>
        <v>106188.036716792</v>
      </c>
      <c r="Z11" s="85">
        <f>SUMIF($B$13:$Y$13,"Yes",B11:Y11)</f>
        <v>1240389.392572533</v>
      </c>
      <c r="AA11" s="80">
        <f>SUM(B11:M11)</f>
        <v>1173777.021715306</v>
      </c>
      <c r="AB11" s="46">
        <f>SUM(B11:Y11)</f>
        <v>2336762.881203008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0.007568731673952898</v>
      </c>
      <c r="D12" s="82">
        <f>IF(D13="Yes",IF(SUM($B$10:D10)/(SUM($B$6:D6)+SUM($B$9:D9))&lt;0,999.99,SUM($B$10:D10)/(SUM($B$6:D6)+SUM($B$9:D9))),"")</f>
        <v>0.01213220712911737</v>
      </c>
      <c r="E12" s="82">
        <f>IF(E13="Yes",IF(SUM($B$10:E10)/(SUM($B$6:E6)+SUM($B$9:E9))&lt;0,999.99,SUM($B$10:E10)/(SUM($B$6:E6)+SUM($B$9:E9))),"")</f>
        <v>0.01518384606600177</v>
      </c>
      <c r="F12" s="82">
        <f>IF(F13="Yes",IF(SUM($B$10:F10)/(SUM($B$6:F6)+SUM($B$9:F9))&lt;0,999.99,SUM($B$10:F10)/(SUM($B$6:F6)+SUM($B$9:F9))),"")</f>
        <v>0.01736817202829271</v>
      </c>
      <c r="G12" s="82">
        <f>IF(G13="Yes",IF(SUM($B$10:G10)/(SUM($B$6:G6)+SUM($B$9:G9))&lt;0,999.99,SUM($B$10:G10)/(SUM($B$6:G6)+SUM($B$9:G9))),"")</f>
        <v>0.01900893022450786</v>
      </c>
      <c r="H12" s="82">
        <f>IF(H13="Yes",IF(SUM($B$10:H10)/(SUM($B$6:H6)+SUM($B$9:H9))&lt;0,999.99,SUM($B$10:H10)/(SUM($B$6:H6)+SUM($B$9:H9))),"")</f>
        <v>0.05248746998021522</v>
      </c>
      <c r="I12" s="82">
        <f>IF(I13="Yes",IF(SUM($B$10:I10)/(SUM($B$6:I6)+SUM($B$9:I9))&lt;0,999.99,SUM($B$10:I10)/(SUM($B$6:I6)+SUM($B$9:I9))),"")</f>
        <v>0.07929498187393004</v>
      </c>
      <c r="J12" s="82">
        <f>IF(J13="Yes",IF(SUM($B$10:J10)/(SUM($B$6:J6)+SUM($B$9:J9))&lt;0,999.99,SUM($B$10:J10)/(SUM($B$6:J6)+SUM($B$9:J9))),"")</f>
        <v>0.1012447386213199</v>
      </c>
      <c r="K12" s="82">
        <f>IF(K13="Yes",IF(SUM($B$10:K10)/(SUM($B$6:K6)+SUM($B$9:K9))&lt;0,999.99,SUM($B$10:K10)/(SUM($B$6:K6)+SUM($B$9:K9))),"")</f>
        <v>0.1195474464086795</v>
      </c>
      <c r="L12" s="82">
        <f>IF(L13="Yes",IF(SUM($B$10:L10)/(SUM($B$6:L6)+SUM($B$9:L9))&lt;0,999.99,SUM($B$10:L10)/(SUM($B$6:L6)+SUM($B$9:L9))),"")</f>
        <v>0.1350423435802845</v>
      </c>
      <c r="M12" s="82">
        <f>IF(M13="Yes",IF(SUM($B$10:M10)/(SUM($B$6:M6)+SUM($B$9:M9))&lt;0,999.99,SUM($B$10:M10)/(SUM($B$6:M6)+SUM($B$9:M9))),"")</f>
        <v>0.148329518067215</v>
      </c>
      <c r="N12" s="82">
        <f>IF(N13="Yes",IF(SUM($B$10:N10)/(SUM($B$6:N6)+SUM($B$9:N9))&lt;0,999.99,SUM($B$10:N10)/(SUM($B$6:N6)+SUM($B$9:N9))),"")</f>
        <v>0.1598494280623231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37488.72180451127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3389.285714285714</v>
      </c>
      <c r="C24" s="36">
        <f>IFERROR(Calculations!$P14/12,"")</f>
        <v>3389.285714285714</v>
      </c>
      <c r="D24" s="36">
        <f>IFERROR(Calculations!$P14/12,"")</f>
        <v>3389.285714285714</v>
      </c>
      <c r="E24" s="36">
        <f>IFERROR(Calculations!$P14/12,"")</f>
        <v>3389.285714285714</v>
      </c>
      <c r="F24" s="36">
        <f>IFERROR(Calculations!$P14/12,"")</f>
        <v>3389.285714285714</v>
      </c>
      <c r="G24" s="36">
        <f>IFERROR(Calculations!$P14/12,"")</f>
        <v>3389.285714285714</v>
      </c>
      <c r="H24" s="36">
        <f>IFERROR(Calculations!$P14/12,"")</f>
        <v>3389.285714285714</v>
      </c>
      <c r="I24" s="36">
        <f>IFERROR(Calculations!$P14/12,"")</f>
        <v>3389.285714285714</v>
      </c>
      <c r="J24" s="36">
        <f>IFERROR(Calculations!$P14/12,"")</f>
        <v>3389.285714285714</v>
      </c>
      <c r="K24" s="36">
        <f>IFERROR(Calculations!$P14/12,"")</f>
        <v>3389.285714285714</v>
      </c>
      <c r="L24" s="36">
        <f>IFERROR(Calculations!$P14/12,"")</f>
        <v>3389.285714285714</v>
      </c>
      <c r="M24" s="36">
        <f>IFERROR(Calculations!$P14/12,"")</f>
        <v>3389.285714285714</v>
      </c>
      <c r="N24" s="36">
        <f>IFERROR(Calculations!$P14/12,"")</f>
        <v>3389.285714285714</v>
      </c>
      <c r="O24" s="36">
        <f>IFERROR(Calculations!$P14/12,"")</f>
        <v>3389.285714285714</v>
      </c>
      <c r="P24" s="36">
        <f>IFERROR(Calculations!$P14/12,"")</f>
        <v>3389.285714285714</v>
      </c>
      <c r="Q24" s="36">
        <f>IFERROR(Calculations!$P14/12,"")</f>
        <v>3389.285714285714</v>
      </c>
      <c r="R24" s="36">
        <f>IFERROR(Calculations!$P14/12,"")</f>
        <v>3389.285714285714</v>
      </c>
      <c r="S24" s="36">
        <f>IFERROR(Calculations!$P14/12,"")</f>
        <v>3389.285714285714</v>
      </c>
      <c r="T24" s="36">
        <f>IFERROR(Calculations!$P14/12,"")</f>
        <v>3389.285714285714</v>
      </c>
      <c r="U24" s="36">
        <f>IFERROR(Calculations!$P14/12,"")</f>
        <v>3389.285714285714</v>
      </c>
      <c r="V24" s="36">
        <f>IFERROR(Calculations!$P14/12,"")</f>
        <v>3389.285714285714</v>
      </c>
      <c r="W24" s="36">
        <f>IFERROR(Calculations!$P14/12,"")</f>
        <v>3389.285714285714</v>
      </c>
      <c r="X24" s="36">
        <f>IFERROR(Calculations!$P14/12,"")</f>
        <v>3389.285714285714</v>
      </c>
      <c r="Y24" s="36">
        <f>IFERROR(Calculations!$P14/12,"")</f>
        <v>3389.285714285714</v>
      </c>
      <c r="Z24" s="36">
        <f>SUMIF($B$13:$Y$13,"Yes",B24:Y24)</f>
        <v>44060.71428571428</v>
      </c>
      <c r="AA24" s="36">
        <f>SUM(B24:M24)</f>
        <v>40671.42857142857</v>
      </c>
      <c r="AB24" s="46">
        <f>SUM(B24:Y24)</f>
        <v>81342.85714285709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6600</v>
      </c>
      <c r="C25" s="36">
        <f>IFERROR(Calculations!$P15/12,"")</f>
        <v>6600</v>
      </c>
      <c r="D25" s="36">
        <f>IFERROR(Calculations!$P15/12,"")</f>
        <v>6600</v>
      </c>
      <c r="E25" s="36">
        <f>IFERROR(Calculations!$P15/12,"")</f>
        <v>6600</v>
      </c>
      <c r="F25" s="36">
        <f>IFERROR(Calculations!$P15/12,"")</f>
        <v>6600</v>
      </c>
      <c r="G25" s="36">
        <f>IFERROR(Calculations!$P15/12,"")</f>
        <v>6600</v>
      </c>
      <c r="H25" s="36">
        <f>IFERROR(Calculations!$P15/12,"")</f>
        <v>6600</v>
      </c>
      <c r="I25" s="36">
        <f>IFERROR(Calculations!$P15/12,"")</f>
        <v>6600</v>
      </c>
      <c r="J25" s="36">
        <f>IFERROR(Calculations!$P15/12,"")</f>
        <v>6600</v>
      </c>
      <c r="K25" s="36">
        <f>IFERROR(Calculations!$P15/12,"")</f>
        <v>6600</v>
      </c>
      <c r="L25" s="36">
        <f>IFERROR(Calculations!$P15/12,"")</f>
        <v>6600</v>
      </c>
      <c r="M25" s="36">
        <f>IFERROR(Calculations!$P15/12,"")</f>
        <v>6600</v>
      </c>
      <c r="N25" s="36">
        <f>IFERROR(Calculations!$P15/12,"")</f>
        <v>6600</v>
      </c>
      <c r="O25" s="36">
        <f>IFERROR(Calculations!$P15/12,"")</f>
        <v>6600</v>
      </c>
      <c r="P25" s="36">
        <f>IFERROR(Calculations!$P15/12,"")</f>
        <v>6600</v>
      </c>
      <c r="Q25" s="36">
        <f>IFERROR(Calculations!$P15/12,"")</f>
        <v>6600</v>
      </c>
      <c r="R25" s="36">
        <f>IFERROR(Calculations!$P15/12,"")</f>
        <v>6600</v>
      </c>
      <c r="S25" s="36">
        <f>IFERROR(Calculations!$P15/12,"")</f>
        <v>6600</v>
      </c>
      <c r="T25" s="36">
        <f>IFERROR(Calculations!$P15/12,"")</f>
        <v>6600</v>
      </c>
      <c r="U25" s="36">
        <f>IFERROR(Calculations!$P15/12,"")</f>
        <v>6600</v>
      </c>
      <c r="V25" s="36">
        <f>IFERROR(Calculations!$P15/12,"")</f>
        <v>6600</v>
      </c>
      <c r="W25" s="36">
        <f>IFERROR(Calculations!$P15/12,"")</f>
        <v>6600</v>
      </c>
      <c r="X25" s="36">
        <f>IFERROR(Calculations!$P15/12,"")</f>
        <v>6600</v>
      </c>
      <c r="Y25" s="36">
        <f>IFERROR(Calculations!$P15/12,"")</f>
        <v>6600</v>
      </c>
      <c r="Z25" s="36">
        <f>SUMIF($B$13:$Y$13,"Yes",B25:Y25)</f>
        <v>85800</v>
      </c>
      <c r="AA25" s="36">
        <f>SUM(B25:M25)</f>
        <v>79200</v>
      </c>
      <c r="AB25" s="46">
        <f>SUM(B25:Y25)</f>
        <v>158400</v>
      </c>
    </row>
    <row r="26" spans="1:30">
      <c r="A26" s="43" t="str">
        <f>IF(Inputs!A21="","",IF(Inputs!A21=Parameters!$A$30,Inputs!B21,Inputs!A21))</f>
        <v>Cows_dairy</v>
      </c>
      <c r="B26" s="36">
        <f>IFERROR(Calculations!$P16/12,"")</f>
        <v>43343.75</v>
      </c>
      <c r="C26" s="36">
        <f>IFERROR(Calculations!$P16/12,"")</f>
        <v>43343.75</v>
      </c>
      <c r="D26" s="36">
        <f>IFERROR(Calculations!$P16/12,"")</f>
        <v>43343.75</v>
      </c>
      <c r="E26" s="36">
        <f>IFERROR(Calculations!$P16/12,"")</f>
        <v>43343.75</v>
      </c>
      <c r="F26" s="36">
        <f>IFERROR(Calculations!$P16/12,"")</f>
        <v>43343.75</v>
      </c>
      <c r="G26" s="36">
        <f>IFERROR(Calculations!$P16/12,"")</f>
        <v>43343.75</v>
      </c>
      <c r="H26" s="36">
        <f>IFERROR(Calculations!$P16/12,"")</f>
        <v>43343.75</v>
      </c>
      <c r="I26" s="36">
        <f>IFERROR(Calculations!$P16/12,"")</f>
        <v>43343.75</v>
      </c>
      <c r="J26" s="36">
        <f>IFERROR(Calculations!$P16/12,"")</f>
        <v>43343.75</v>
      </c>
      <c r="K26" s="36">
        <f>IFERROR(Calculations!$P16/12,"")</f>
        <v>43343.75</v>
      </c>
      <c r="L26" s="36">
        <f>IFERROR(Calculations!$P16/12,"")</f>
        <v>43343.75</v>
      </c>
      <c r="M26" s="36">
        <f>IFERROR(Calculations!$P16/12,"")</f>
        <v>43343.75</v>
      </c>
      <c r="N26" s="36">
        <f>IFERROR(Calculations!$P16/12,"")</f>
        <v>43343.75</v>
      </c>
      <c r="O26" s="36">
        <f>IFERROR(Calculations!$P16/12,"")</f>
        <v>43343.75</v>
      </c>
      <c r="P26" s="36">
        <f>IFERROR(Calculations!$P16/12,"")</f>
        <v>43343.75</v>
      </c>
      <c r="Q26" s="36">
        <f>IFERROR(Calculations!$P16/12,"")</f>
        <v>43343.75</v>
      </c>
      <c r="R26" s="36">
        <f>IFERROR(Calculations!$P16/12,"")</f>
        <v>43343.75</v>
      </c>
      <c r="S26" s="36">
        <f>IFERROR(Calculations!$P16/12,"")</f>
        <v>43343.75</v>
      </c>
      <c r="T26" s="36">
        <f>IFERROR(Calculations!$P16/12,"")</f>
        <v>43343.75</v>
      </c>
      <c r="U26" s="36">
        <f>IFERROR(Calculations!$P16/12,"")</f>
        <v>43343.75</v>
      </c>
      <c r="V26" s="36">
        <f>IFERROR(Calculations!$P16/12,"")</f>
        <v>43343.75</v>
      </c>
      <c r="W26" s="36">
        <f>IFERROR(Calculations!$P16/12,"")</f>
        <v>43343.75</v>
      </c>
      <c r="X26" s="36">
        <f>IFERROR(Calculations!$P16/12,"")</f>
        <v>43343.75</v>
      </c>
      <c r="Y26" s="36">
        <f>IFERROR(Calculations!$P16/12,"")</f>
        <v>43343.75</v>
      </c>
      <c r="Z26" s="36">
        <f>SUMIF($B$13:$Y$13,"Yes",B26:Y26)</f>
        <v>563468.75</v>
      </c>
      <c r="AA26" s="36">
        <f>SUM(B26:M26)</f>
        <v>520125</v>
      </c>
      <c r="AB26" s="46">
        <f>SUM(B26:Y26)</f>
        <v>1040250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6500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6500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550000</v>
      </c>
      <c r="C29" s="37">
        <f>Inputs!$B$30</f>
        <v>550000</v>
      </c>
      <c r="D29" s="37">
        <f>Inputs!$B$30</f>
        <v>550000</v>
      </c>
      <c r="E29" s="37">
        <f>Inputs!$B$30</f>
        <v>550000</v>
      </c>
      <c r="F29" s="37">
        <f>Inputs!$B$30</f>
        <v>550000</v>
      </c>
      <c r="G29" s="37">
        <f>Inputs!$B$30</f>
        <v>550000</v>
      </c>
      <c r="H29" s="37">
        <f>Inputs!$B$30</f>
        <v>550000</v>
      </c>
      <c r="I29" s="37">
        <f>Inputs!$B$30</f>
        <v>550000</v>
      </c>
      <c r="J29" s="37">
        <f>Inputs!$B$30</f>
        <v>550000</v>
      </c>
      <c r="K29" s="37">
        <f>Inputs!$B$30</f>
        <v>550000</v>
      </c>
      <c r="L29" s="37">
        <f>Inputs!$B$30</f>
        <v>550000</v>
      </c>
      <c r="M29" s="37">
        <f>Inputs!$B$30</f>
        <v>550000</v>
      </c>
      <c r="N29" s="37">
        <f>Inputs!$B$30</f>
        <v>550000</v>
      </c>
      <c r="O29" s="37">
        <f>Inputs!$B$30</f>
        <v>550000</v>
      </c>
      <c r="P29" s="37">
        <f>Inputs!$B$30</f>
        <v>550000</v>
      </c>
      <c r="Q29" s="37">
        <f>Inputs!$B$30</f>
        <v>550000</v>
      </c>
      <c r="R29" s="37">
        <f>Inputs!$B$30</f>
        <v>550000</v>
      </c>
      <c r="S29" s="37">
        <f>Inputs!$B$30</f>
        <v>550000</v>
      </c>
      <c r="T29" s="37">
        <f>Inputs!$B$30</f>
        <v>550000</v>
      </c>
      <c r="U29" s="37">
        <f>Inputs!$B$30</f>
        <v>550000</v>
      </c>
      <c r="V29" s="37">
        <f>Inputs!$B$30</f>
        <v>550000</v>
      </c>
      <c r="W29" s="37">
        <f>Inputs!$B$30</f>
        <v>550000</v>
      </c>
      <c r="X29" s="37">
        <f>Inputs!$B$30</f>
        <v>550000</v>
      </c>
      <c r="Y29" s="37">
        <f>Inputs!$B$30</f>
        <v>550000</v>
      </c>
      <c r="Z29" s="37">
        <f>SUMIF($B$13:$Y$13,"Yes",B29:Y29)</f>
        <v>7150000</v>
      </c>
      <c r="AA29" s="37">
        <f>SUM(B29:M29)</f>
        <v>6600000</v>
      </c>
      <c r="AB29" s="37">
        <f>SUM(B29:Y29)</f>
        <v>13200000</v>
      </c>
    </row>
    <row r="30" spans="1:30" customHeight="1" ht="15.75">
      <c r="A30" s="1" t="s">
        <v>37</v>
      </c>
      <c r="B30" s="19">
        <f>SUM(B18:B29)</f>
        <v>603333.0357142857</v>
      </c>
      <c r="C30" s="19">
        <f>SUM(C18:C29)</f>
        <v>603333.0357142857</v>
      </c>
      <c r="D30" s="19">
        <f>SUM(D18:D29)</f>
        <v>603333.0357142857</v>
      </c>
      <c r="E30" s="19">
        <f>SUM(E18:E29)</f>
        <v>603333.0357142857</v>
      </c>
      <c r="F30" s="19">
        <f>SUM(F18:F29)</f>
        <v>603333.0357142857</v>
      </c>
      <c r="G30" s="19">
        <f>SUM(G18:G29)</f>
        <v>603333.0357142857</v>
      </c>
      <c r="H30" s="19">
        <f>SUM(H18:H29)</f>
        <v>603333.0357142857</v>
      </c>
      <c r="I30" s="19">
        <f>SUM(I18:I29)</f>
        <v>603333.0357142857</v>
      </c>
      <c r="J30" s="19">
        <f>SUM(J18:J29)</f>
        <v>603333.0357142857</v>
      </c>
      <c r="K30" s="19">
        <f>SUM(K18:K29)</f>
        <v>603333.0357142857</v>
      </c>
      <c r="L30" s="19">
        <f>SUM(L18:L29)</f>
        <v>603333.0357142857</v>
      </c>
      <c r="M30" s="19">
        <f>SUM(M18:M29)</f>
        <v>603333.0357142857</v>
      </c>
      <c r="N30" s="19">
        <f>SUM(N18:N29)</f>
        <v>603333.0357142857</v>
      </c>
      <c r="O30" s="19">
        <f>SUM(O18:O29)</f>
        <v>603333.0357142857</v>
      </c>
      <c r="P30" s="19">
        <f>SUM(P18:P29)</f>
        <v>603333.0357142857</v>
      </c>
      <c r="Q30" s="19">
        <f>SUM(Q18:Q29)</f>
        <v>609833.0357142857</v>
      </c>
      <c r="R30" s="19">
        <f>SUM(R18:R29)</f>
        <v>603333.0357142857</v>
      </c>
      <c r="S30" s="19">
        <f>SUM(S18:S29)</f>
        <v>603333.0357142857</v>
      </c>
      <c r="T30" s="19">
        <f>SUM(T18:T29)</f>
        <v>603333.0357142857</v>
      </c>
      <c r="U30" s="19">
        <f>SUM(U18:U29)</f>
        <v>603333.0357142857</v>
      </c>
      <c r="V30" s="19">
        <f>SUM(V18:V29)</f>
        <v>603333.0357142857</v>
      </c>
      <c r="W30" s="19">
        <f>SUM(W18:W29)</f>
        <v>603333.0357142857</v>
      </c>
      <c r="X30" s="19">
        <f>SUM(X18:X29)</f>
        <v>603333.0357142857</v>
      </c>
      <c r="Y30" s="19">
        <f>SUM(Y18:Y29)</f>
        <v>603333.0357142857</v>
      </c>
      <c r="Z30" s="19">
        <f>SUMIF($B$13:$Y$13,"Yes",B30:Y30)</f>
        <v>7843329.464285712</v>
      </c>
      <c r="AA30" s="19">
        <f>SUM(B30:M30)</f>
        <v>7239996.428571426</v>
      </c>
      <c r="AB30" s="19">
        <f>SUM(B30:Y30)</f>
        <v>14486492.85714285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4562.5</v>
      </c>
      <c r="C74" s="46">
        <f>SUM(Calculations!$Q$14:$Q$16)/12</f>
        <v>4562.5</v>
      </c>
      <c r="D74" s="46">
        <f>SUM(Calculations!$Q$14:$Q$16)/12</f>
        <v>4562.5</v>
      </c>
      <c r="E74" s="46">
        <f>SUM(Calculations!$Q$14:$Q$16)/12</f>
        <v>4562.5</v>
      </c>
      <c r="F74" s="46">
        <f>SUM(Calculations!$Q$14:$Q$16)/12</f>
        <v>4562.5</v>
      </c>
      <c r="G74" s="46">
        <f>SUM(Calculations!$Q$14:$Q$16)/12</f>
        <v>4562.5</v>
      </c>
      <c r="H74" s="46">
        <f>SUM(Calculations!$Q$14:$Q$16)/12</f>
        <v>4562.5</v>
      </c>
      <c r="I74" s="46">
        <f>SUM(Calculations!$Q$14:$Q$16)/12</f>
        <v>4562.5</v>
      </c>
      <c r="J74" s="46">
        <f>SUM(Calculations!$Q$14:$Q$16)/12</f>
        <v>4562.5</v>
      </c>
      <c r="K74" s="46">
        <f>SUM(Calculations!$Q$14:$Q$16)/12</f>
        <v>4562.5</v>
      </c>
      <c r="L74" s="46">
        <f>SUM(Calculations!$Q$14:$Q$16)/12</f>
        <v>4562.5</v>
      </c>
      <c r="M74" s="46">
        <f>SUM(Calculations!$Q$14:$Q$16)/12</f>
        <v>4562.5</v>
      </c>
      <c r="N74" s="46">
        <f>SUM(Calculations!$Q$14:$Q$16)/12</f>
        <v>4562.5</v>
      </c>
      <c r="O74" s="46">
        <f>SUM(Calculations!$Q$14:$Q$16)/12</f>
        <v>4562.5</v>
      </c>
      <c r="P74" s="46">
        <f>SUM(Calculations!$Q$14:$Q$16)/12</f>
        <v>4562.5</v>
      </c>
      <c r="Q74" s="46">
        <f>SUM(Calculations!$Q$14:$Q$16)/12</f>
        <v>4562.5</v>
      </c>
      <c r="R74" s="46">
        <f>SUM(Calculations!$Q$14:$Q$16)/12</f>
        <v>4562.5</v>
      </c>
      <c r="S74" s="46">
        <f>SUM(Calculations!$Q$14:$Q$16)/12</f>
        <v>4562.5</v>
      </c>
      <c r="T74" s="46">
        <f>SUM(Calculations!$Q$14:$Q$16)/12</f>
        <v>4562.5</v>
      </c>
      <c r="U74" s="46">
        <f>SUM(Calculations!$Q$14:$Q$16)/12</f>
        <v>4562.5</v>
      </c>
      <c r="V74" s="46">
        <f>SUM(Calculations!$Q$14:$Q$16)/12</f>
        <v>4562.5</v>
      </c>
      <c r="W74" s="46">
        <f>SUM(Calculations!$Q$14:$Q$16)/12</f>
        <v>4562.5</v>
      </c>
      <c r="X74" s="46">
        <f>SUM(Calculations!$Q$14:$Q$16)/12</f>
        <v>4562.5</v>
      </c>
      <c r="Y74" s="46">
        <f>SUM(Calculations!$Q$14:$Q$16)/12</f>
        <v>4562.5</v>
      </c>
      <c r="Z74" s="46">
        <f>SUMIF($B$13:$Y$13,"Yes",B74:Y74)</f>
        <v>59312.5</v>
      </c>
      <c r="AA74" s="46">
        <f>SUM(B74:M74)</f>
        <v>54750</v>
      </c>
      <c r="AB74" s="46">
        <f>SUM(B74:Y74)</f>
        <v>109500</v>
      </c>
    </row>
    <row r="75" spans="1:30">
      <c r="A75" s="16" t="s">
        <v>47</v>
      </c>
      <c r="B75" s="46">
        <f>SUM(Calculations!$R$14:$R$16)/12</f>
        <v>228.4444444444444</v>
      </c>
      <c r="C75" s="46">
        <f>SUM(Calculations!$R$14:$R$16)/12</f>
        <v>228.4444444444444</v>
      </c>
      <c r="D75" s="46">
        <f>SUM(Calculations!$R$14:$R$16)/12</f>
        <v>228.4444444444444</v>
      </c>
      <c r="E75" s="46">
        <f>SUM(Calculations!$R$14:$R$16)/12</f>
        <v>228.4444444444444</v>
      </c>
      <c r="F75" s="46">
        <f>SUM(Calculations!$R$14:$R$16)/12</f>
        <v>228.4444444444444</v>
      </c>
      <c r="G75" s="46">
        <f>SUM(Calculations!$R$14:$R$16)/12</f>
        <v>228.4444444444444</v>
      </c>
      <c r="H75" s="46">
        <f>SUM(Calculations!$R$14:$R$16)/12</f>
        <v>228.4444444444444</v>
      </c>
      <c r="I75" s="46">
        <f>SUM(Calculations!$R$14:$R$16)/12</f>
        <v>228.4444444444444</v>
      </c>
      <c r="J75" s="46">
        <f>SUM(Calculations!$R$14:$R$16)/12</f>
        <v>228.4444444444444</v>
      </c>
      <c r="K75" s="46">
        <f>SUM(Calculations!$R$14:$R$16)/12</f>
        <v>228.4444444444444</v>
      </c>
      <c r="L75" s="46">
        <f>SUM(Calculations!$R$14:$R$16)/12</f>
        <v>228.4444444444444</v>
      </c>
      <c r="M75" s="46">
        <f>SUM(Calculations!$R$14:$R$16)/12</f>
        <v>228.4444444444444</v>
      </c>
      <c r="N75" s="46">
        <f>SUM(Calculations!$R$14:$R$16)/12</f>
        <v>228.4444444444444</v>
      </c>
      <c r="O75" s="46">
        <f>SUM(Calculations!$R$14:$R$16)/12</f>
        <v>228.4444444444444</v>
      </c>
      <c r="P75" s="46">
        <f>SUM(Calculations!$R$14:$R$16)/12</f>
        <v>228.4444444444444</v>
      </c>
      <c r="Q75" s="46">
        <f>SUM(Calculations!$R$14:$R$16)/12</f>
        <v>228.4444444444444</v>
      </c>
      <c r="R75" s="46">
        <f>SUM(Calculations!$R$14:$R$16)/12</f>
        <v>228.4444444444444</v>
      </c>
      <c r="S75" s="46">
        <f>SUM(Calculations!$R$14:$R$16)/12</f>
        <v>228.4444444444444</v>
      </c>
      <c r="T75" s="46">
        <f>SUM(Calculations!$R$14:$R$16)/12</f>
        <v>228.4444444444444</v>
      </c>
      <c r="U75" s="46">
        <f>SUM(Calculations!$R$14:$R$16)/12</f>
        <v>228.4444444444444</v>
      </c>
      <c r="V75" s="46">
        <f>SUM(Calculations!$R$14:$R$16)/12</f>
        <v>228.4444444444444</v>
      </c>
      <c r="W75" s="46">
        <f>SUM(Calculations!$R$14:$R$16)/12</f>
        <v>228.4444444444444</v>
      </c>
      <c r="X75" s="46">
        <f>SUM(Calculations!$R$14:$R$16)/12</f>
        <v>228.4444444444444</v>
      </c>
      <c r="Y75" s="46">
        <f>SUM(Calculations!$R$14:$R$16)/12</f>
        <v>228.4444444444444</v>
      </c>
      <c r="Z75" s="46">
        <f>SUMIF($B$13:$Y$13,"Yes",B75:Y75)</f>
        <v>2969.777777777777</v>
      </c>
      <c r="AA75" s="46">
        <f>SUM(B75:M75)</f>
        <v>2741.333333333333</v>
      </c>
      <c r="AB75" s="46">
        <f>SUM(B75:Y75)</f>
        <v>5482.666666666665</v>
      </c>
    </row>
    <row r="76" spans="1:30">
      <c r="A76" s="16" t="s">
        <v>48</v>
      </c>
      <c r="B76" s="46">
        <f>SUM(Calculations!$S$14:$S$16)/12</f>
        <v>1562.03007518797</v>
      </c>
      <c r="C76" s="46">
        <f>SUM(Calculations!$S$14:$S$16)/12</f>
        <v>1562.03007518797</v>
      </c>
      <c r="D76" s="46">
        <f>SUM(Calculations!$S$14:$S$16)/12</f>
        <v>1562.03007518797</v>
      </c>
      <c r="E76" s="46">
        <f>SUM(Calculations!$S$14:$S$16)/12</f>
        <v>1562.03007518797</v>
      </c>
      <c r="F76" s="46">
        <f>SUM(Calculations!$S$14:$S$16)/12</f>
        <v>1562.03007518797</v>
      </c>
      <c r="G76" s="46">
        <f>SUM(Calculations!$S$14:$S$16)/12</f>
        <v>1562.03007518797</v>
      </c>
      <c r="H76" s="46">
        <f>SUM(Calculations!$S$14:$S$16)/12</f>
        <v>1562.03007518797</v>
      </c>
      <c r="I76" s="46">
        <f>SUM(Calculations!$S$14:$S$16)/12</f>
        <v>1562.03007518797</v>
      </c>
      <c r="J76" s="46">
        <f>SUM(Calculations!$S$14:$S$16)/12</f>
        <v>1562.03007518797</v>
      </c>
      <c r="K76" s="46">
        <f>SUM(Calculations!$S$14:$S$16)/12</f>
        <v>1562.03007518797</v>
      </c>
      <c r="L76" s="46">
        <f>SUM(Calculations!$S$14:$S$16)/12</f>
        <v>1562.03007518797</v>
      </c>
      <c r="M76" s="46">
        <f>SUM(Calculations!$S$14:$S$16)/12</f>
        <v>1562.03007518797</v>
      </c>
      <c r="N76" s="46">
        <f>SUM(Calculations!$S$14:$S$16)/12</f>
        <v>1562.03007518797</v>
      </c>
      <c r="O76" s="46">
        <f>SUM(Calculations!$S$14:$S$16)/12</f>
        <v>1562.03007518797</v>
      </c>
      <c r="P76" s="46">
        <f>SUM(Calculations!$S$14:$S$16)/12</f>
        <v>1562.03007518797</v>
      </c>
      <c r="Q76" s="46">
        <f>SUM(Calculations!$S$14:$S$16)/12</f>
        <v>1562.03007518797</v>
      </c>
      <c r="R76" s="46">
        <f>SUM(Calculations!$S$14:$S$16)/12</f>
        <v>1562.03007518797</v>
      </c>
      <c r="S76" s="46">
        <f>SUM(Calculations!$S$14:$S$16)/12</f>
        <v>1562.03007518797</v>
      </c>
      <c r="T76" s="46">
        <f>SUM(Calculations!$S$14:$S$16)/12</f>
        <v>1562.03007518797</v>
      </c>
      <c r="U76" s="46">
        <f>SUM(Calculations!$S$14:$S$16)/12</f>
        <v>1562.03007518797</v>
      </c>
      <c r="V76" s="46">
        <f>SUM(Calculations!$S$14:$S$16)/12</f>
        <v>1562.03007518797</v>
      </c>
      <c r="W76" s="46">
        <f>SUM(Calculations!$S$14:$S$16)/12</f>
        <v>1562.03007518797</v>
      </c>
      <c r="X76" s="46">
        <f>SUM(Calculations!$S$14:$S$16)/12</f>
        <v>1562.03007518797</v>
      </c>
      <c r="Y76" s="46">
        <f>SUM(Calculations!$S$14:$S$16)/12</f>
        <v>1562.03007518797</v>
      </c>
      <c r="Z76" s="46">
        <f>SUMIF($B$13:$Y$13,"Yes",B76:Y76)</f>
        <v>20306.39097744361</v>
      </c>
      <c r="AA76" s="46">
        <f>SUM(B76:M76)</f>
        <v>18744.36090225564</v>
      </c>
      <c r="AB76" s="46">
        <f>SUM(B76:Y76)</f>
        <v>37488.72180451127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420000</v>
      </c>
      <c r="C79" s="46">
        <f>Inputs!$B$31</f>
        <v>420000</v>
      </c>
      <c r="D79" s="46">
        <f>Inputs!$B$31</f>
        <v>420000</v>
      </c>
      <c r="E79" s="46">
        <f>Inputs!$B$31</f>
        <v>420000</v>
      </c>
      <c r="F79" s="46">
        <f>Inputs!$B$31</f>
        <v>420000</v>
      </c>
      <c r="G79" s="46">
        <f>Inputs!$B$31</f>
        <v>420000</v>
      </c>
      <c r="H79" s="46">
        <f>Inputs!$B$31</f>
        <v>420000</v>
      </c>
      <c r="I79" s="46">
        <f>Inputs!$B$31</f>
        <v>420000</v>
      </c>
      <c r="J79" s="46">
        <f>Inputs!$B$31</f>
        <v>420000</v>
      </c>
      <c r="K79" s="46">
        <f>Inputs!$B$31</f>
        <v>420000</v>
      </c>
      <c r="L79" s="46">
        <f>Inputs!$B$31</f>
        <v>420000</v>
      </c>
      <c r="M79" s="46">
        <f>Inputs!$B$31</f>
        <v>420000</v>
      </c>
      <c r="N79" s="46">
        <f>Inputs!$B$31</f>
        <v>420000</v>
      </c>
      <c r="O79" s="46">
        <f>Inputs!$B$31</f>
        <v>420000</v>
      </c>
      <c r="P79" s="46">
        <f>Inputs!$B$31</f>
        <v>420000</v>
      </c>
      <c r="Q79" s="46">
        <f>Inputs!$B$31</f>
        <v>420000</v>
      </c>
      <c r="R79" s="46">
        <f>Inputs!$B$31</f>
        <v>420000</v>
      </c>
      <c r="S79" s="46">
        <f>Inputs!$B$31</f>
        <v>420000</v>
      </c>
      <c r="T79" s="46">
        <f>Inputs!$B$31</f>
        <v>420000</v>
      </c>
      <c r="U79" s="46">
        <f>Inputs!$B$31</f>
        <v>420000</v>
      </c>
      <c r="V79" s="46">
        <f>Inputs!$B$31</f>
        <v>420000</v>
      </c>
      <c r="W79" s="46">
        <f>Inputs!$B$31</f>
        <v>420000</v>
      </c>
      <c r="X79" s="46">
        <f>Inputs!$B$31</f>
        <v>420000</v>
      </c>
      <c r="Y79" s="46">
        <f>Inputs!$B$31</f>
        <v>420000</v>
      </c>
      <c r="Z79" s="46">
        <f>SUMIF($B$13:$Y$13,"Yes",B79:Y79)</f>
        <v>5460000</v>
      </c>
      <c r="AA79" s="46">
        <f>SUM(B79:M79)</f>
        <v>5040000</v>
      </c>
      <c r="AB79" s="46">
        <f>SUM(B79:Y79)</f>
        <v>10080000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70792.0244778613</v>
      </c>
      <c r="C81" s="46">
        <f>(SUM($AA$18:$AA$29)-SUM($AA$36,$AA$42,$AA$48,$AA$54,$AA$60,$AA$66,$AA$72:$AA$79))*Parameters!$B$37/12</f>
        <v>70792.0244778613</v>
      </c>
      <c r="D81" s="46">
        <f>(SUM($AA$18:$AA$29)-SUM($AA$36,$AA$42,$AA$48,$AA$54,$AA$60,$AA$66,$AA$72:$AA$79))*Parameters!$B$37/12</f>
        <v>70792.0244778613</v>
      </c>
      <c r="E81" s="46">
        <f>(SUM($AA$18:$AA$29)-SUM($AA$36,$AA$42,$AA$48,$AA$54,$AA$60,$AA$66,$AA$72:$AA$79))*Parameters!$B$37/12</f>
        <v>70792.0244778613</v>
      </c>
      <c r="F81" s="46">
        <f>(SUM($AA$18:$AA$29)-SUM($AA$36,$AA$42,$AA$48,$AA$54,$AA$60,$AA$66,$AA$72:$AA$79))*Parameters!$B$37/12</f>
        <v>70792.0244778613</v>
      </c>
      <c r="G81" s="46">
        <f>(SUM($AA$18:$AA$29)-SUM($AA$36,$AA$42,$AA$48,$AA$54,$AA$60,$AA$66,$AA$72:$AA$79))*Parameters!$B$37/12</f>
        <v>70792.0244778613</v>
      </c>
      <c r="H81" s="46">
        <f>(SUM($AA$18:$AA$29)-SUM($AA$36,$AA$42,$AA$48,$AA$54,$AA$60,$AA$66,$AA$72:$AA$79))*Parameters!$B$37/12</f>
        <v>70792.0244778613</v>
      </c>
      <c r="I81" s="46">
        <f>(SUM($AA$18:$AA$29)-SUM($AA$36,$AA$42,$AA$48,$AA$54,$AA$60,$AA$66,$AA$72:$AA$79))*Parameters!$B$37/12</f>
        <v>70792.0244778613</v>
      </c>
      <c r="J81" s="46">
        <f>(SUM($AA$18:$AA$29)-SUM($AA$36,$AA$42,$AA$48,$AA$54,$AA$60,$AA$66,$AA$72:$AA$79))*Parameters!$B$37/12</f>
        <v>70792.0244778613</v>
      </c>
      <c r="K81" s="46">
        <f>(SUM($AA$18:$AA$29)-SUM($AA$36,$AA$42,$AA$48,$AA$54,$AA$60,$AA$66,$AA$72:$AA$79))*Parameters!$B$37/12</f>
        <v>70792.0244778613</v>
      </c>
      <c r="L81" s="46">
        <f>(SUM($AA$18:$AA$29)-SUM($AA$36,$AA$42,$AA$48,$AA$54,$AA$60,$AA$66,$AA$72:$AA$79))*Parameters!$B$37/12</f>
        <v>70792.0244778613</v>
      </c>
      <c r="M81" s="46">
        <f>(SUM($AA$18:$AA$29)-SUM($AA$36,$AA$42,$AA$48,$AA$54,$AA$60,$AA$66,$AA$72:$AA$79))*Parameters!$B$37/12</f>
        <v>70792.0244778613</v>
      </c>
      <c r="N81" s="46">
        <f>(SUM($AA$18:$AA$29)-SUM($AA$36,$AA$42,$AA$48,$AA$54,$AA$60,$AA$66,$AA$72:$AA$79))*Parameters!$B$37/12</f>
        <v>70792.0244778613</v>
      </c>
      <c r="O81" s="46">
        <f>(SUM($AA$18:$AA$29)-SUM($AA$36,$AA$42,$AA$48,$AA$54,$AA$60,$AA$66,$AA$72:$AA$79))*Parameters!$B$37/12</f>
        <v>70792.0244778613</v>
      </c>
      <c r="P81" s="46">
        <f>(SUM($AA$18:$AA$29)-SUM($AA$36,$AA$42,$AA$48,$AA$54,$AA$60,$AA$66,$AA$72:$AA$79))*Parameters!$B$37/12</f>
        <v>70792.0244778613</v>
      </c>
      <c r="Q81" s="46">
        <f>(SUM($AA$18:$AA$29)-SUM($AA$36,$AA$42,$AA$48,$AA$54,$AA$60,$AA$66,$AA$72:$AA$79))*Parameters!$B$37/12</f>
        <v>70792.0244778613</v>
      </c>
      <c r="R81" s="46">
        <f>(SUM($AA$18:$AA$29)-SUM($AA$36,$AA$42,$AA$48,$AA$54,$AA$60,$AA$66,$AA$72:$AA$79))*Parameters!$B$37/12</f>
        <v>70792.0244778613</v>
      </c>
      <c r="S81" s="46">
        <f>(SUM($AA$18:$AA$29)-SUM($AA$36,$AA$42,$AA$48,$AA$54,$AA$60,$AA$66,$AA$72:$AA$79))*Parameters!$B$37/12</f>
        <v>70792.0244778613</v>
      </c>
      <c r="T81" s="46">
        <f>(SUM($AA$18:$AA$29)-SUM($AA$36,$AA$42,$AA$48,$AA$54,$AA$60,$AA$66,$AA$72:$AA$79))*Parameters!$B$37/12</f>
        <v>70792.0244778613</v>
      </c>
      <c r="U81" s="46">
        <f>(SUM($AA$18:$AA$29)-SUM($AA$36,$AA$42,$AA$48,$AA$54,$AA$60,$AA$66,$AA$72:$AA$79))*Parameters!$B$37/12</f>
        <v>70792.0244778613</v>
      </c>
      <c r="V81" s="46">
        <f>(SUM($AA$18:$AA$29)-SUM($AA$36,$AA$42,$AA$48,$AA$54,$AA$60,$AA$66,$AA$72:$AA$79))*Parameters!$B$37/12</f>
        <v>70792.0244778613</v>
      </c>
      <c r="W81" s="46">
        <f>(SUM($AA$18:$AA$29)-SUM($AA$36,$AA$42,$AA$48,$AA$54,$AA$60,$AA$66,$AA$72:$AA$79))*Parameters!$B$37/12</f>
        <v>70792.0244778613</v>
      </c>
      <c r="X81" s="46">
        <f>(SUM($AA$18:$AA$29)-SUM($AA$36,$AA$42,$AA$48,$AA$54,$AA$60,$AA$66,$AA$72:$AA$79))*Parameters!$B$37/12</f>
        <v>70792.0244778613</v>
      </c>
      <c r="Y81" s="46">
        <f>(SUM($AA$18:$AA$29)-SUM($AA$36,$AA$42,$AA$48,$AA$54,$AA$60,$AA$66,$AA$72:$AA$79))*Parameters!$B$37/12</f>
        <v>70792.0244778613</v>
      </c>
      <c r="Z81" s="46">
        <f>SUMIF($B$13:$Y$13,"Yes",B81:Y81)</f>
        <v>920296.3182121972</v>
      </c>
      <c r="AA81" s="46">
        <f>SUM(B81:M81)</f>
        <v>849504.2937343358</v>
      </c>
      <c r="AB81" s="46">
        <f>SUM(B81:Y81)</f>
        <v>1699008.587468672</v>
      </c>
    </row>
    <row r="82" spans="1:30">
      <c r="A82" s="16" t="s">
        <v>52</v>
      </c>
      <c r="B82" s="46">
        <f>SUM(B83:B87)</f>
        <v>8004.237288135593</v>
      </c>
      <c r="C82" s="46">
        <f>SUM(C83:C87)</f>
        <v>8004.237288135593</v>
      </c>
      <c r="D82" s="46">
        <f>SUM(D83:D87)</f>
        <v>8004.237288135593</v>
      </c>
      <c r="E82" s="46">
        <f>SUM(E83:E87)</f>
        <v>8004.237288135593</v>
      </c>
      <c r="F82" s="46">
        <f>SUM(F83:F87)</f>
        <v>8004.237288135593</v>
      </c>
      <c r="G82" s="46">
        <f>SUM(G83:G87)</f>
        <v>8004.237288135593</v>
      </c>
      <c r="H82" s="46">
        <f>SUM(H83:H87)</f>
        <v>8004.237288135593</v>
      </c>
      <c r="I82" s="46">
        <f>SUM(I83:I87)</f>
        <v>8004.237288135593</v>
      </c>
      <c r="J82" s="46">
        <f>SUM(J83:J87)</f>
        <v>8004.237288135593</v>
      </c>
      <c r="K82" s="46">
        <f>SUM(K83:K87)</f>
        <v>8004.237288135593</v>
      </c>
      <c r="L82" s="46">
        <f>SUM(L83:L87)</f>
        <v>8004.237288135593</v>
      </c>
      <c r="M82" s="46">
        <f>SUM(M83:M87)</f>
        <v>8004.237288135593</v>
      </c>
      <c r="N82" s="46">
        <f>SUM(N83:N87)</f>
        <v>8004.237288135593</v>
      </c>
      <c r="O82" s="46">
        <f>SUM(O83:O87)</f>
        <v>8004.237288135593</v>
      </c>
      <c r="P82" s="46">
        <f>SUM(P83:P87)</f>
        <v>8004.237288135593</v>
      </c>
      <c r="Q82" s="46">
        <f>SUM(Q83:Q87)</f>
        <v>8004.237288135593</v>
      </c>
      <c r="R82" s="46">
        <f>SUM(R83:R87)</f>
        <v>8004.237288135593</v>
      </c>
      <c r="S82" s="46">
        <f>SUM(S83:S87)</f>
        <v>8004.237288135593</v>
      </c>
      <c r="T82" s="46">
        <f>SUM(T83:T87)</f>
        <v>8004.237288135593</v>
      </c>
      <c r="U82" s="46">
        <f>SUM(U83:U87)</f>
        <v>8004.237288135593</v>
      </c>
      <c r="V82" s="46">
        <f>SUM(V83:V87)</f>
        <v>8004.237288135593</v>
      </c>
      <c r="W82" s="46">
        <f>SUM(W83:W87)</f>
        <v>8004.237288135593</v>
      </c>
      <c r="X82" s="46">
        <f>SUM(X83:X87)</f>
        <v>6156.779661016946</v>
      </c>
      <c r="Y82" s="46">
        <f>SUM(Y83:Y87)</f>
        <v>0</v>
      </c>
      <c r="Z82" s="46">
        <f>SUMIF($B$13:$Y$13,"Yes",B82:Y82)</f>
        <v>104055.0847457627</v>
      </c>
      <c r="AA82" s="46">
        <f>SUM(B82:M82)</f>
        <v>96050.84745762713</v>
      </c>
      <c r="AB82" s="46">
        <f>SUM(B82:Y82)</f>
        <v>182250.0000000001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8004.237288135593</v>
      </c>
      <c r="C83" s="46">
        <f>IF(Calculations!$E23&gt;COUNT(Output!$B$35:C$35),Calculations!$B23,IF(Calculations!$E23=COUNT(Output!$B$35:C$35),Inputs!$B56-Calculations!$C23*(Calculations!$E23-1)+Calculations!$D23,0))</f>
        <v>8004.237288135593</v>
      </c>
      <c r="D83" s="46">
        <f>IF(Calculations!$E23&gt;COUNT(Output!$B$35:D$35),Calculations!$B23,IF(Calculations!$E23=COUNT(Output!$B$35:D$35),Inputs!$B56-Calculations!$C23*(Calculations!$E23-1)+Calculations!$D23,0))</f>
        <v>8004.237288135593</v>
      </c>
      <c r="E83" s="46">
        <f>IF(Calculations!$E23&gt;COUNT(Output!$B$35:E$35),Calculations!$B23,IF(Calculations!$E23=COUNT(Output!$B$35:E$35),Inputs!$B56-Calculations!$C23*(Calculations!$E23-1)+Calculations!$D23,0))</f>
        <v>8004.237288135593</v>
      </c>
      <c r="F83" s="46">
        <f>IF(Calculations!$E23&gt;COUNT(Output!$B$35:F$35),Calculations!$B23,IF(Calculations!$E23=COUNT(Output!$B$35:F$35),Inputs!$B56-Calculations!$C23*(Calculations!$E23-1)+Calculations!$D23,0))</f>
        <v>8004.237288135593</v>
      </c>
      <c r="G83" s="46">
        <f>IF(Calculations!$E23&gt;COUNT(Output!$B$35:G$35),Calculations!$B23,IF(Calculations!$E23=COUNT(Output!$B$35:G$35),Inputs!$B56-Calculations!$C23*(Calculations!$E23-1)+Calculations!$D23,0))</f>
        <v>8004.237288135593</v>
      </c>
      <c r="H83" s="46">
        <f>IF(Calculations!$E23&gt;COUNT(Output!$B$35:H$35),Calculations!$B23,IF(Calculations!$E23=COUNT(Output!$B$35:H$35),Inputs!$B56-Calculations!$C23*(Calculations!$E23-1)+Calculations!$D23,0))</f>
        <v>8004.237288135593</v>
      </c>
      <c r="I83" s="46">
        <f>IF(Calculations!$E23&gt;COUNT(Output!$B$35:I$35),Calculations!$B23,IF(Calculations!$E23=COUNT(Output!$B$35:I$35),Inputs!$B56-Calculations!$C23*(Calculations!$E23-1)+Calculations!$D23,0))</f>
        <v>8004.237288135593</v>
      </c>
      <c r="J83" s="46">
        <f>IF(Calculations!$E23&gt;COUNT(Output!$B$35:J$35),Calculations!$B23,IF(Calculations!$E23=COUNT(Output!$B$35:J$35),Inputs!$B56-Calculations!$C23*(Calculations!$E23-1)+Calculations!$D23,0))</f>
        <v>8004.237288135593</v>
      </c>
      <c r="K83" s="46">
        <f>IF(Calculations!$E23&gt;COUNT(Output!$B$35:K$35),Calculations!$B23,IF(Calculations!$E23=COUNT(Output!$B$35:K$35),Inputs!$B56-Calculations!$C23*(Calculations!$E23-1)+Calculations!$D23,0))</f>
        <v>8004.237288135593</v>
      </c>
      <c r="L83" s="46">
        <f>IF(Calculations!$E23&gt;COUNT(Output!$B$35:L$35),Calculations!$B23,IF(Calculations!$E23=COUNT(Output!$B$35:L$35),Inputs!$B56-Calculations!$C23*(Calculations!$E23-1)+Calculations!$D23,0))</f>
        <v>8004.237288135593</v>
      </c>
      <c r="M83" s="46">
        <f>IF(Calculations!$E23&gt;COUNT(Output!$B$35:M$35),Calculations!$B23,IF(Calculations!$E23=COUNT(Output!$B$35:M$35),Inputs!$B56-Calculations!$C23*(Calculations!$E23-1)+Calculations!$D23,0))</f>
        <v>8004.237288135593</v>
      </c>
      <c r="N83" s="46">
        <f>IF(Calculations!$E23&gt;COUNT(Output!$B$35:N$35),Calculations!$B23,IF(Calculations!$E23=COUNT(Output!$B$35:N$35),Inputs!$B56-Calculations!$C23*(Calculations!$E23-1)+Calculations!$D23,0))</f>
        <v>8004.237288135593</v>
      </c>
      <c r="O83" s="46">
        <f>IF(Calculations!$E23&gt;COUNT(Output!$B$35:O$35),Calculations!$B23,IF(Calculations!$E23=COUNT(Output!$B$35:O$35),Inputs!$B56-Calculations!$C23*(Calculations!$E23-1)+Calculations!$D23,0))</f>
        <v>8004.237288135593</v>
      </c>
      <c r="P83" s="46">
        <f>IF(Calculations!$E23&gt;COUNT(Output!$B$35:P$35),Calculations!$B23,IF(Calculations!$E23=COUNT(Output!$B$35:P$35),Inputs!$B56-Calculations!$C23*(Calculations!$E23-1)+Calculations!$D23,0))</f>
        <v>8004.237288135593</v>
      </c>
      <c r="Q83" s="46">
        <f>IF(Calculations!$E23&gt;COUNT(Output!$B$35:Q$35),Calculations!$B23,IF(Calculations!$E23=COUNT(Output!$B$35:Q$35),Inputs!$B56-Calculations!$C23*(Calculations!$E23-1)+Calculations!$D23,0))</f>
        <v>8004.237288135593</v>
      </c>
      <c r="R83" s="46">
        <f>IF(Calculations!$E23&gt;COUNT(Output!$B$35:R$35),Calculations!$B23,IF(Calculations!$E23=COUNT(Output!$B$35:R$35),Inputs!$B56-Calculations!$C23*(Calculations!$E23-1)+Calculations!$D23,0))</f>
        <v>8004.237288135593</v>
      </c>
      <c r="S83" s="46">
        <f>IF(Calculations!$E23&gt;COUNT(Output!$B$35:S$35),Calculations!$B23,IF(Calculations!$E23=COUNT(Output!$B$35:S$35),Inputs!$B56-Calculations!$C23*(Calculations!$E23-1)+Calculations!$D23,0))</f>
        <v>8004.237288135593</v>
      </c>
      <c r="T83" s="46">
        <f>IF(Calculations!$E23&gt;COUNT(Output!$B$35:T$35),Calculations!$B23,IF(Calculations!$E23=COUNT(Output!$B$35:T$35),Inputs!$B56-Calculations!$C23*(Calculations!$E23-1)+Calculations!$D23,0))</f>
        <v>8004.237288135593</v>
      </c>
      <c r="U83" s="46">
        <f>IF(Calculations!$E23&gt;COUNT(Output!$B$35:U$35),Calculations!$B23,IF(Calculations!$E23=COUNT(Output!$B$35:U$35),Inputs!$B56-Calculations!$C23*(Calculations!$E23-1)+Calculations!$D23,0))</f>
        <v>8004.237288135593</v>
      </c>
      <c r="V83" s="46">
        <f>IF(Calculations!$E23&gt;COUNT(Output!$B$35:V$35),Calculations!$B23,IF(Calculations!$E23=COUNT(Output!$B$35:V$35),Inputs!$B56-Calculations!$C23*(Calculations!$E23-1)+Calculations!$D23,0))</f>
        <v>8004.237288135593</v>
      </c>
      <c r="W83" s="46">
        <f>IF(Calculations!$E23&gt;COUNT(Output!$B$35:W$35),Calculations!$B23,IF(Calculations!$E23=COUNT(Output!$B$35:W$35),Inputs!$B56-Calculations!$C23*(Calculations!$E23-1)+Calculations!$D23,0))</f>
        <v>8004.237288135593</v>
      </c>
      <c r="X83" s="46">
        <f>IF(Calculations!$E23&gt;COUNT(Output!$B$35:X$35),Calculations!$B23,IF(Calculations!$E23=COUNT(Output!$B$35:X$35),Inputs!$B56-Calculations!$C23*(Calculations!$E23-1)+Calculations!$D23,0))</f>
        <v>6156.779661016946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104055.0847457627</v>
      </c>
      <c r="AA83" s="46">
        <f>SUM(B83:M83)</f>
        <v>96050.84745762713</v>
      </c>
      <c r="AB83" s="46">
        <f>SUM(B83:Y83)</f>
        <v>182250.0000000001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505149.2362856293</v>
      </c>
      <c r="C88" s="19">
        <f>SUM(C72:C82,C66,C60,C54,C48,C42,C36)</f>
        <v>505149.2362856293</v>
      </c>
      <c r="D88" s="19">
        <f>SUM(D72:D82,D66,D60,D54,D48,D42,D36)</f>
        <v>505149.2362856293</v>
      </c>
      <c r="E88" s="19">
        <f>SUM(E72:E82,E66,E60,E54,E48,E42,E36)</f>
        <v>505149.2362856293</v>
      </c>
      <c r="F88" s="19">
        <f>SUM(F72:F82,F66,F60,F54,F48,F42,F36)</f>
        <v>505149.2362856293</v>
      </c>
      <c r="G88" s="19">
        <f>SUM(G72:G82,G66,G60,G54,G48,G42,G36)</f>
        <v>505149.2362856293</v>
      </c>
      <c r="H88" s="19">
        <f>SUM(H72:H82,H66,H60,H54,H48,H42,H36)</f>
        <v>505149.2362856293</v>
      </c>
      <c r="I88" s="19">
        <f>SUM(I72:I82,I66,I60,I54,I48,I42,I36)</f>
        <v>505149.2362856293</v>
      </c>
      <c r="J88" s="19">
        <f>SUM(J72:J82,J66,J60,J54,J48,J42,J36)</f>
        <v>505149.2362856293</v>
      </c>
      <c r="K88" s="19">
        <f>SUM(K72:K82,K66,K60,K54,K48,K42,K36)</f>
        <v>505149.2362856293</v>
      </c>
      <c r="L88" s="19">
        <f>SUM(L72:L82,L66,L60,L54,L48,L42,L36)</f>
        <v>505149.2362856293</v>
      </c>
      <c r="M88" s="19">
        <f>SUM(M72:M82,M66,M60,M54,M48,M42,M36)</f>
        <v>505149.2362856293</v>
      </c>
      <c r="N88" s="19">
        <f>SUM(N72:N82,N66,N60,N54,N48,N42,N36)</f>
        <v>505149.2362856293</v>
      </c>
      <c r="O88" s="19">
        <f>SUM(O72:O82,O66,O60,O54,O48,O42,O36)</f>
        <v>505149.2362856293</v>
      </c>
      <c r="P88" s="19">
        <f>SUM(P72:P82,P66,P60,P54,P48,P42,P36)</f>
        <v>505149.2362856293</v>
      </c>
      <c r="Q88" s="19">
        <f>SUM(Q72:Q82,Q66,Q60,Q54,Q48,Q42,Q36)</f>
        <v>505149.2362856293</v>
      </c>
      <c r="R88" s="19">
        <f>SUM(R72:R82,R66,R60,R54,R48,R42,R36)</f>
        <v>505149.2362856293</v>
      </c>
      <c r="S88" s="19">
        <f>SUM(S72:S82,S66,S60,S54,S48,S42,S36)</f>
        <v>505149.2362856293</v>
      </c>
      <c r="T88" s="19">
        <f>SUM(T72:T82,T66,T60,T54,T48,T42,T36)</f>
        <v>505149.2362856293</v>
      </c>
      <c r="U88" s="19">
        <f>SUM(U72:U82,U66,U60,U54,U48,U42,U36)</f>
        <v>505149.2362856293</v>
      </c>
      <c r="V88" s="19">
        <f>SUM(V72:V82,V66,V60,V54,V48,V42,V36)</f>
        <v>505149.2362856293</v>
      </c>
      <c r="W88" s="19">
        <f>SUM(W72:W82,W66,W60,W54,W48,W42,W36)</f>
        <v>505149.2362856293</v>
      </c>
      <c r="X88" s="19">
        <f>SUM(X72:X82,X66,X60,X54,X48,X42,X36)</f>
        <v>503301.7786585107</v>
      </c>
      <c r="Y88" s="19">
        <f>SUM(Y72:Y82,Y66,Y60,Y54,Y48,Y42,Y36)</f>
        <v>497144.9989974937</v>
      </c>
      <c r="Z88" s="19">
        <f>SUMIF($B$13:$Y$13,"Yes",B88:Y88)</f>
        <v>6566940.071713182</v>
      </c>
      <c r="AA88" s="19">
        <f>SUM(B88:M88)</f>
        <v>6061790.835427552</v>
      </c>
      <c r="AB88" s="19">
        <f>SUM(B88:Y88)</f>
        <v>12113729.97593985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60000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458000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120000</v>
      </c>
    </row>
    <row r="99" spans="1:30">
      <c r="A99" t="s">
        <v>65</v>
      </c>
      <c r="B99" s="36">
        <f>Inputs!B46</f>
        <v>80000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2468000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15000</v>
      </c>
    </row>
    <row r="105" spans="1:30">
      <c r="A105" t="s">
        <v>70</v>
      </c>
      <c r="B105" s="36">
        <f>SUM(Inputs!B56:B60)</f>
        <v>119000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334000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40</v>
      </c>
      <c r="D19" s="145">
        <v>30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>
        <v>5</v>
      </c>
      <c r="L19" s="25">
        <v>3</v>
      </c>
    </row>
    <row r="20" spans="1:48">
      <c r="A20" s="143" t="s">
        <v>105</v>
      </c>
      <c r="B20" s="16"/>
      <c r="C20" s="143">
        <v>2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 t="s">
        <v>106</v>
      </c>
      <c r="B21" s="23"/>
      <c r="C21" s="144">
        <v>2</v>
      </c>
      <c r="D21" s="150">
        <v>2</v>
      </c>
      <c r="E21" s="23"/>
      <c r="F21" s="150" t="s">
        <v>103</v>
      </c>
      <c r="G21" s="23"/>
      <c r="H21" s="23"/>
      <c r="I21" s="150" t="s">
        <v>107</v>
      </c>
      <c r="J21" s="150">
        <v>5</v>
      </c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550000</v>
      </c>
    </row>
    <row r="31" spans="1:48">
      <c r="A31" s="5" t="s">
        <v>114</v>
      </c>
      <c r="B31" s="158">
        <v>420000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103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103</v>
      </c>
    </row>
    <row r="45" spans="1:48">
      <c r="A45" s="56" t="s">
        <v>127</v>
      </c>
      <c r="B45" s="161">
        <v>120000</v>
      </c>
    </row>
    <row r="46" spans="1:48" customHeight="1" ht="30">
      <c r="A46" s="57" t="s">
        <v>128</v>
      </c>
      <c r="B46" s="161">
        <v>80000</v>
      </c>
    </row>
    <row r="47" spans="1:48" customHeight="1" ht="30">
      <c r="A47" s="57" t="s">
        <v>129</v>
      </c>
      <c r="B47" s="161">
        <v>250000</v>
      </c>
    </row>
    <row r="48" spans="1:48" customHeight="1" ht="30">
      <c r="A48" s="57" t="s">
        <v>130</v>
      </c>
      <c r="B48" s="161">
        <v>1500000</v>
      </c>
    </row>
    <row r="49" spans="1:48" customHeight="1" ht="30">
      <c r="A49" s="57" t="s">
        <v>131</v>
      </c>
      <c r="B49" s="161">
        <v>60000</v>
      </c>
    </row>
    <row r="50" spans="1:48">
      <c r="A50" s="43"/>
      <c r="B50" s="36"/>
    </row>
    <row r="51" spans="1:48">
      <c r="A51" s="58" t="s">
        <v>132</v>
      </c>
      <c r="B51" s="161">
        <v>15000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150000</v>
      </c>
      <c r="B56" s="159">
        <v>119000</v>
      </c>
      <c r="C56" s="162" t="s">
        <v>140</v>
      </c>
      <c r="D56" s="163" t="s">
        <v>141</v>
      </c>
      <c r="E56" s="163" t="s">
        <v>103</v>
      </c>
      <c r="F56" s="163" t="s">
        <v>142</v>
      </c>
    </row>
    <row r="57" spans="1:48">
      <c r="A57" s="157">
        <v>150000</v>
      </c>
      <c r="B57" s="157">
        <v>0</v>
      </c>
      <c r="C57" s="164" t="s">
        <v>143</v>
      </c>
      <c r="D57" s="165" t="s">
        <v>144</v>
      </c>
      <c r="E57" s="165" t="s">
        <v>145</v>
      </c>
      <c r="F57" s="165" t="s">
        <v>146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148</v>
      </c>
      <c r="C65" s="10" t="s">
        <v>149</v>
      </c>
    </row>
    <row r="66" spans="1:48">
      <c r="A66" s="142" t="s">
        <v>150</v>
      </c>
      <c r="B66" s="159">
        <v>192098</v>
      </c>
      <c r="C66" s="163">
        <v>169951</v>
      </c>
      <c r="D66" s="49">
        <f>INDEX(Parameters!$D$79:$D$90,MATCH(Inputs!A66,Parameters!$C$79:$C$90,0))</f>
        <v>8</v>
      </c>
    </row>
    <row r="67" spans="1:48">
      <c r="A67" s="143" t="s">
        <v>151</v>
      </c>
      <c r="B67" s="157">
        <v>213210</v>
      </c>
      <c r="C67" s="165">
        <v>189623</v>
      </c>
      <c r="D67" s="49">
        <f>INDEX(Parameters!$D$79:$D$90,MATCH(Inputs!A67,Parameters!$C$79:$C$90,0))</f>
        <v>9</v>
      </c>
    </row>
    <row r="68" spans="1:48">
      <c r="A68" s="143" t="s">
        <v>152</v>
      </c>
      <c r="B68" s="157">
        <v>202507</v>
      </c>
      <c r="C68" s="165">
        <v>174686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330787</v>
      </c>
      <c r="C69" s="165">
        <v>312890</v>
      </c>
      <c r="D69" s="49">
        <f>INDEX(Parameters!$D$79:$D$90,MATCH(Inputs!A69,Parameters!$C$79:$C$90,0))</f>
        <v>11</v>
      </c>
    </row>
    <row r="70" spans="1:48">
      <c r="A70" s="143" t="s">
        <v>154</v>
      </c>
      <c r="B70" s="157">
        <v>246530</v>
      </c>
      <c r="C70" s="165">
        <v>227776</v>
      </c>
      <c r="D70" s="49">
        <f>INDEX(Parameters!$D$79:$D$90,MATCH(Inputs!A70,Parameters!$C$79:$C$90,0))</f>
        <v>12</v>
      </c>
    </row>
    <row r="71" spans="1:48">
      <c r="A71" s="144" t="s">
        <v>155</v>
      </c>
      <c r="B71" s="158">
        <v>236800</v>
      </c>
      <c r="C71" s="167">
        <v>213222</v>
      </c>
      <c r="D71" s="49">
        <f>INDEX(Parameters!$D$79:$D$90,MATCH(Inputs!A71,Parameters!$C$79:$C$90,0))</f>
        <v>1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200000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>
        <v>5</v>
      </c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3</v>
      </c>
      <c r="AD4" s="60">
        <f>IF($A4=0,1/12,IFERROR(INDEX(Parameters!$X$2:$AI$17,MATCH(Calculations!$A4,Parameters!$A$2:$A$17,0),MONTH(Calculations!AD$3)),1/12))</f>
        <v>4</v>
      </c>
      <c r="AE4" s="60">
        <f>IF($A4=0,1/12,IFERROR(INDEX(Parameters!$X$2:$AI$17,MATCH(Calculations!$A4,Parameters!$A$2:$A$17,0),MONTH(Calculations!AE$3)),1/12))</f>
        <v>5</v>
      </c>
      <c r="AF4" s="60">
        <f>IF($A4=0,1/12,IFERROR(INDEX(Parameters!$X$2:$AI$17,MATCH(Calculations!$A4,Parameters!$A$2:$A$17,0),MONTH(Calculations!AF$3)),1/12))</f>
        <v>6</v>
      </c>
      <c r="AG4" s="60">
        <f>IF($A4=0,1/12,IFERROR(INDEX(Parameters!$X$2:$AI$17,MATCH(Calculations!$A4,Parameters!$A$2:$A$17,0),MONTH(Calculations!AG$3)),1/12))</f>
        <v>7</v>
      </c>
      <c r="AH4" s="60">
        <f>IF($A4=0,1/12,IFERROR(INDEX(Parameters!$X$2:$AI$17,MATCH(Calculations!$A4,Parameters!$A$2:$A$17,0),MONTH(Calculations!AH$3)),1/12))</f>
        <v>8</v>
      </c>
      <c r="AI4" s="60">
        <f>IF($A4=0,1/12,IFERROR(INDEX(Parameters!$X$2:$AI$17,MATCH(Calculations!$A4,Parameters!$A$2:$A$17,0),MONTH(Calculations!AI$3)),1/12))</f>
        <v>9</v>
      </c>
      <c r="AJ4" s="60">
        <f>IF($A4=0,1/12,IFERROR(INDEX(Parameters!$X$2:$AI$17,MATCH(Calculations!$A4,Parameters!$A$2:$A$17,0),MONTH(Calculations!AJ$3)),1/12))</f>
        <v>10</v>
      </c>
      <c r="AK4" s="60">
        <f>IF($A4=0,1/12,IFERROR(INDEX(Parameters!$X$2:$AI$17,MATCH(Calculations!$A4,Parameters!$A$2:$A$17,0),MONTH(Calculations!AK$3)),1/12))</f>
        <v>11</v>
      </c>
      <c r="AL4" s="60">
        <f>IF($A4=0,1/12,IFERROR(INDEX(Parameters!$X$2:$AI$17,MATCH(Calculations!$A4,Parameters!$A$2:$A$17,0),MONTH(Calculations!AL$3)),1/12))</f>
        <v>12</v>
      </c>
      <c r="AM4" s="60">
        <f>IF($A4=0,1/12,IFERROR(INDEX(Parameters!$X$2:$AI$17,MATCH(Calculations!$A4,Parameters!$A$2:$A$17,0),MONTH(Calculations!AM$3)),1/12))</f>
        <v>1</v>
      </c>
      <c r="AN4" s="60">
        <f>IF($A4=0,1/12,IFERROR(INDEX(Parameters!$X$2:$AI$17,MATCH(Calculations!$A4,Parameters!$A$2:$A$17,0),MONTH(Calculations!AN$3)),1/12))</f>
        <v>2</v>
      </c>
      <c r="AO4" s="60">
        <f>IF($A4=0,1/12,IFERROR(INDEX(Parameters!$X$2:$AI$17,MATCH(Calculations!$A4,Parameters!$A$2:$A$17,0),MONTH(Calculations!AO$3)),1/12))</f>
        <v>3</v>
      </c>
      <c r="AP4" s="60">
        <f>IF($A4=0,1/12,IFERROR(INDEX(Parameters!$X$2:$AI$17,MATCH(Calculations!$A4,Parameters!$A$2:$A$17,0),MONTH(Calculations!AP$3)),1/12))</f>
        <v>4</v>
      </c>
      <c r="AQ4" s="60">
        <f>IF($A4=0,1/12,IFERROR(INDEX(Parameters!$X$2:$AI$17,MATCH(Calculations!$A4,Parameters!$A$2:$A$17,0),MONTH(Calculations!AQ$3)),1/12))</f>
        <v>5</v>
      </c>
      <c r="AR4" s="60">
        <f>IF($A4=0,1/12,IFERROR(INDEX(Parameters!$X$2:$AI$17,MATCH(Calculations!$A4,Parameters!$A$2:$A$17,0),MONTH(Calculations!AR$3)),1/12))</f>
        <v>6</v>
      </c>
      <c r="AS4" s="60">
        <f>IF($A4=0,1/12,IFERROR(INDEX(Parameters!$X$2:$AI$17,MATCH(Calculations!$A4,Parameters!$A$2:$A$17,0),MONTH(Calculations!AS$3)),1/12))</f>
        <v>7</v>
      </c>
      <c r="AT4" s="60">
        <f>IF($A4=0,1/12,IFERROR(INDEX(Parameters!$X$2:$AI$17,MATCH(Calculations!$A4,Parameters!$A$2:$A$17,0),MONTH(Calculations!AT$3)),1/12))</f>
        <v>8</v>
      </c>
      <c r="AU4" s="60">
        <f>IF($A4=0,1/12,IFERROR(INDEX(Parameters!$X$2:$AI$17,MATCH(Calculations!$A4,Parameters!$A$2:$A$17,0),MONTH(Calculations!AU$3)),1/12))</f>
        <v>9</v>
      </c>
      <c r="AV4" s="60">
        <f>IF($A4=0,1/12,IFERROR(INDEX(Parameters!$X$2:$AI$17,MATCH(Calculations!$A4,Parameters!$A$2:$A$17,0),MONTH(Calculations!AV$3)),1/12))</f>
        <v>10</v>
      </c>
      <c r="AW4" s="60">
        <f>IF($A4=0,1/12,IFERROR(INDEX(Parameters!$X$2:$AI$17,MATCH(Calculations!$A4,Parameters!$A$2:$A$17,0),MONTH(Calculations!AW$3)),1/12))</f>
        <v>11</v>
      </c>
      <c r="AX4" s="60">
        <f>IF($A4=0,1/12,IFERROR(INDEX(Parameters!$X$2:$AI$17,MATCH(Calculations!$A4,Parameters!$A$2:$A$17,0),MONTH(Calculations!AX$3)),1/12))</f>
        <v>12</v>
      </c>
      <c r="AY4" s="60">
        <f>IF($A4=0,1/12,IFERROR(INDEX(Parameters!$X$2:$AI$17,MATCH(Calculations!$A4,Parameters!$A$2:$A$17,0),MONTH(Calculations!AY$3)),1/12))</f>
        <v>1</v>
      </c>
      <c r="AZ4" s="60">
        <f>IF($A4=0,1/12,IFERROR(INDEX(Parameters!$X$2:$AI$17,MATCH(Calculations!$A4,Parameters!$A$2:$A$17,0),MONTH(Calculations!AZ$3)),1/12))</f>
        <v>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40</v>
      </c>
      <c r="E14" s="16">
        <f>Inputs!D19</f>
        <v>30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40671.42857142857</v>
      </c>
      <c r="Q14" s="63">
        <f>IFERROR(D14*INDEX(Parameters!$A$22:$P$29,MATCH(Calculations!$A14,Parameters!$A$22:$A$29,0),MATCH(Parameters!$L$22,Parameters!$A$22:$P$22,0))*IF(Inputs!I19="Always",1,IF(Inputs!I19="Sometimes",0.5,0))*365,"")</f>
        <v>7300</v>
      </c>
      <c r="R14" s="63">
        <f>IFERROR(D14*INDEX(Parameters!$A$22:$P$29,MATCH(Calculations!$A14,Parameters!$A$22:$A$29,0),MATCH(Parameters!$M$22,Parameters!$A$22:$P$22,0)),"")</f>
        <v>341.3333333333333</v>
      </c>
      <c r="S14" s="63">
        <f>IFERROR(D14*INDEX(Parameters!$A$22:$P$29,MATCH(Calculations!$A14,Parameters!$A$22:$A$29,0),MATCH(Parameters!$N$22,Parameters!$A$22:$P$22,0)),"")</f>
        <v>2744.360902255639</v>
      </c>
    </row>
    <row r="15" spans="1:52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2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66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79200</v>
      </c>
      <c r="Q15" s="64">
        <f>IFERROR(D15*INDEX(Parameters!$A$22:$P$29,MATCH(Calculations!$A15,Parameters!$A$22:$A$29,0),MATCH(Parameters!$L$22,Parameters!$A$22:$P$22,0))*IF(Inputs!I20="Always",1,IF(Inputs!I20="Sometimes",0.5,0))*365,"")</f>
        <v>10950</v>
      </c>
      <c r="R15" s="64">
        <f>IFERROR(D15*INDEX(Parameters!$A$22:$P$29,MATCH(Calculations!$A15,Parameters!$A$22:$A$29,0),MATCH(Parameters!$M$22,Parameters!$A$22:$P$22,0)),"")</f>
        <v>400</v>
      </c>
      <c r="S15" s="64">
        <f>IFERROR(D15*INDEX(Parameters!$A$22:$P$29,MATCH(Calculations!$A15,Parameters!$A$22:$A$29,0),MATCH(Parameters!$N$22,Parameters!$A$22:$P$22,0)),"")</f>
        <v>4000</v>
      </c>
    </row>
    <row r="16" spans="1:52">
      <c r="A16" s="16" t="str">
        <f>Inputs!A21</f>
        <v>Cows_dairy</v>
      </c>
      <c r="B16" s="16" t="str">
        <f>IFERROR(VLOOKUP(A16,Parameters!$A$23:$B$30,2,0),"")</f>
        <v>milk</v>
      </c>
      <c r="C16" s="16" t="str">
        <f>IF(Inputs!A21=Parameters!$A$30,Inputs!B21,A16&amp;": "&amp;B16)</f>
        <v>Cows_dairy: milk</v>
      </c>
      <c r="D16" s="16">
        <f>Inputs!C21</f>
        <v>2</v>
      </c>
      <c r="E16" s="16">
        <f>Inputs!D21</f>
        <v>2</v>
      </c>
      <c r="F16" s="43">
        <f>IFERROR(INDEX(Parameters!$A$22:$P$29,MATCH(Calculations!$A16,Parameters!$A$22:$A$29,0),MATCH(Parameters!$P$22,Parameters!$A$22:$P$22,0)),"")</f>
        <v>60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8.333333333333334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25</v>
      </c>
      <c r="K16" s="46">
        <f>IFERROR(INDEX(Parameters!$A$22:$P$29,MATCH(Calculations!$A16,Parameters!$A$22:$A$29,0),MATCH(Parameters!$H$22,Parameters!$A$22:$P$22,0)),"")</f>
        <v>30</v>
      </c>
      <c r="L16" s="171"/>
      <c r="M16" s="22">
        <f>Inputs!J21/100</f>
        <v>0.05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520125</v>
      </c>
      <c r="Q16" s="64">
        <f>IFERROR(D16*INDEX(Parameters!$A$22:$P$29,MATCH(Calculations!$A16,Parameters!$A$22:$A$29,0),MATCH(Parameters!$L$22,Parameters!$A$22:$P$22,0))*IF(Inputs!I21="Always",1,IF(Inputs!I21="Sometimes",0.5,0))*365,"")</f>
        <v>36500</v>
      </c>
      <c r="R16" s="64">
        <f>IFERROR(D16*INDEX(Parameters!$A$22:$P$29,MATCH(Calculations!$A16,Parameters!$A$22:$A$29,0),MATCH(Parameters!$M$22,Parameters!$A$22:$P$22,0)),"")</f>
        <v>2000</v>
      </c>
      <c r="S16" s="64">
        <f>IFERROR(D16*INDEX(Parameters!$A$22:$P$29,MATCH(Calculations!$A16,Parameters!$A$22:$A$29,0),MATCH(Parameters!$N$22,Parameters!$A$22:$P$22,0)),"")</f>
        <v>12000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43252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6500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150000</v>
      </c>
      <c r="B23" s="75">
        <f>SUM(C23:D23)</f>
        <v>8004.237288135593</v>
      </c>
      <c r="C23" s="75">
        <f>IF(Inputs!B56&gt;0,(Inputs!A56-Inputs!B56)/(DATE(YEAR(Inputs!$B$76),MONTH(Inputs!$B$76),DAY(Inputs!$B$76))-DATE(YEAR(Inputs!C56),MONTH(Inputs!C56),DAY(Inputs!C56)))*30,0)</f>
        <v>5254.237288135593</v>
      </c>
      <c r="D23" s="75">
        <f>IF(Inputs!B56&gt;0,Inputs!A56*0.22/12,0)</f>
        <v>2750</v>
      </c>
      <c r="E23" s="75">
        <f>IFERROR(ROUNDUP(Inputs!B56/C23,0),0)</f>
        <v>23</v>
      </c>
    </row>
    <row r="24" spans="1:52">
      <c r="A24" s="46">
        <f>Inputs!A57</f>
        <v>150000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42833</v>
      </c>
      <c r="C33" s="27">
        <f>IF(B33&lt;&gt;"",IF(COUNT($A$33:A33)&lt;=$G$39,0,$G$41)+IF(COUNT($A$33:A33)&lt;=$G$40,0,$G$42),0)</f>
        <v>3000</v>
      </c>
      <c r="D33" s="170">
        <f>IFERROR(DATE(YEAR(B33),MONTH(B33),1)," ")</f>
        <v>42826</v>
      </c>
      <c r="F33" t="s">
        <v>161</v>
      </c>
      <c r="G33" s="128">
        <f>IF(Inputs!B79="","",DATE(YEAR(Inputs!B79),MONTH(Inputs!B79),DAY(Inputs!B79)))</f>
        <v>42802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42863</v>
      </c>
      <c r="C34" s="27">
        <f>IF(B34&lt;&gt;"",IF(COUNT($A$33:A34)&lt;=$G$39,0,$G$41)+IF(COUNT($A$33:A34)&lt;=$G$40,0,$G$42),0)</f>
        <v>3000</v>
      </c>
      <c r="D34" s="170">
        <f>IFERROR(DATE(YEAR(B34),MONTH(B34),1)," ")</f>
        <v>42856</v>
      </c>
      <c r="F34" t="s">
        <v>162</v>
      </c>
      <c r="G34" s="128">
        <f>IF(Inputs!B80="","",DATE(YEAR(Inputs!B80),MONTH(Inputs!B80),DAY(Inputs!B80)))</f>
        <v>42833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42894</v>
      </c>
      <c r="C35" s="27">
        <f>IF(B35&lt;&gt;"",IF(COUNT($A$33:A35)&lt;=$G$39,0,$G$41)+IF(COUNT($A$33:A35)&lt;=$G$40,0,$G$42),0)</f>
        <v>3000</v>
      </c>
      <c r="D35" s="170">
        <f>IFERROR(DATE(YEAR(B35),MONTH(B35),1)," ")</f>
        <v>42887</v>
      </c>
      <c r="F35" t="s">
        <v>164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42924</v>
      </c>
      <c r="C36" s="27">
        <f>IF(B36&lt;&gt;"",IF(COUNT($A$33:A36)&lt;=$G$39,0,$G$41)+IF(COUNT($A$33:A36)&lt;=$G$40,0,$G$42),0)</f>
        <v>3000</v>
      </c>
      <c r="D36" s="170">
        <f>IFERROR(DATE(YEAR(B36),MONTH(B36),1)," ")</f>
        <v>42917</v>
      </c>
      <c r="F36" t="s">
        <v>165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42955</v>
      </c>
      <c r="C37" s="27">
        <f>IF(B37&lt;&gt;"",IF(COUNT($A$33:A37)&lt;=$G$39,0,$G$41)+IF(COUNT($A$33:A37)&lt;=$G$40,0,$G$42),0)</f>
        <v>3000</v>
      </c>
      <c r="D37" s="170">
        <f>IFERROR(DATE(YEAR(B37),MONTH(B37),1)," ")</f>
        <v>42948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42986</v>
      </c>
      <c r="C38" s="27">
        <f>IF(B38&lt;&gt;"",IF(COUNT($A$33:A38)&lt;=$G$39,0,$G$41)+IF(COUNT($A$33:A38)&lt;=$G$40,0,$G$42),0)</f>
        <v>31571.42857142857</v>
      </c>
      <c r="D38" s="170">
        <f>IFERROR(DATE(YEAR(B38),MONTH(B38),1)," ")</f>
        <v>42979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43016</v>
      </c>
      <c r="C39" s="27">
        <f>IF(B39&lt;&gt;"",IF(COUNT($A$33:A39)&lt;=$G$39,0,$G$41)+IF(COUNT($A$33:A39)&lt;=$G$40,0,$G$42),0)</f>
        <v>31571.42857142857</v>
      </c>
      <c r="D39" s="170">
        <f>IFERROR(DATE(YEAR(B39),MONTH(B39),1)," ")</f>
        <v>43009</v>
      </c>
      <c r="F39" t="s">
        <v>170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43047</v>
      </c>
      <c r="C40" s="27">
        <f>IF(B40&lt;&gt;"",IF(COUNT($A$33:A40)&lt;=$G$39,0,$G$41)+IF(COUNT($A$33:A40)&lt;=$G$40,0,$G$42),0)</f>
        <v>31571.42857142857</v>
      </c>
      <c r="D40" s="170">
        <f>IFERROR(DATE(YEAR(B40),MONTH(B40),1)," ")</f>
        <v>43040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43077</v>
      </c>
      <c r="C41" s="27">
        <f>IF(B41&lt;&gt;"",IF(COUNT($A$33:A41)&lt;=$G$39,0,$G$41)+IF(COUNT($A$33:A41)&lt;=$G$40,0,$G$42),0)</f>
        <v>31571.42857142857</v>
      </c>
      <c r="D41" s="170">
        <f>IFERROR(DATE(YEAR(B41),MONTH(B41),1)," ")</f>
        <v>43070</v>
      </c>
      <c r="F41" t="s">
        <v>228</v>
      </c>
      <c r="G41" s="73">
        <f>IFERROR(G35/(G38-G39),"")</f>
        <v>28571.42857142857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43108</v>
      </c>
      <c r="C42" s="27">
        <f>IF(B42&lt;&gt;"",IF(COUNT($A$33:A42)&lt;=$G$39,0,$G$41)+IF(COUNT($A$33:A42)&lt;=$G$40,0,$G$42),0)</f>
        <v>31571.42857142857</v>
      </c>
      <c r="D42" s="170">
        <f>IFERROR(DATE(YEAR(B42),MONTH(B42),1)," ")</f>
        <v>43101</v>
      </c>
      <c r="F42" t="s">
        <v>229</v>
      </c>
      <c r="G42" s="73">
        <f>IFERROR(G35*G36*IF(G37="Monthly",G38/12,IF(G37="Fortnightly",G38/(365/14),G38/(365/28)))/(G38-G40),"")</f>
        <v>3000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43139</v>
      </c>
      <c r="C43" s="27">
        <f>IF(B43&lt;&gt;"",IF(COUNT($A$33:A43)&lt;=$G$39,0,$G$41)+IF(COUNT($A$33:A43)&lt;=$G$40,0,$G$42),0)</f>
        <v>31571.42857142857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43167</v>
      </c>
      <c r="C44" s="27">
        <f>IF(B44&lt;&gt;"",IF(COUNT($A$33:A44)&lt;=$G$39,0,$G$41)+IF(COUNT($A$33:A44)&lt;=$G$40,0,$G$42),0)</f>
        <v>31571.42857142857</v>
      </c>
      <c r="D44" s="170">
        <f>IFERROR(DATE(YEAR(B44),MONTH(B44),1)," ")</f>
        <v>43160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281</v>
      </c>
      <c r="C22" s="10" t="s">
        <v>282</v>
      </c>
      <c r="D22" s="10" t="s">
        <v>283</v>
      </c>
      <c r="E22" s="10" t="s">
        <v>284</v>
      </c>
      <c r="F22" s="10" t="s">
        <v>285</v>
      </c>
      <c r="G22" s="10" t="s">
        <v>286</v>
      </c>
      <c r="H22" s="10" t="s">
        <v>287</v>
      </c>
      <c r="I22" s="10" t="s">
        <v>202</v>
      </c>
      <c r="J22" s="10" t="s">
        <v>288</v>
      </c>
      <c r="K22" s="10" t="s">
        <v>289</v>
      </c>
      <c r="L22" s="10" t="s">
        <v>290</v>
      </c>
      <c r="M22" s="10" t="s">
        <v>291</v>
      </c>
      <c r="N22" s="10" t="s">
        <v>292</v>
      </c>
      <c r="O22" s="10" t="s">
        <v>293</v>
      </c>
      <c r="P22" s="10" t="s">
        <v>294</v>
      </c>
    </row>
    <row r="23" spans="1:36" s="21" customFormat="1">
      <c r="A23" s="21" t="s">
        <v>102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106</v>
      </c>
      <c r="B25" s="16" t="s">
        <v>299</v>
      </c>
      <c r="C25" s="30" t="s">
        <v>300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301</v>
      </c>
      <c r="B26" s="16" t="s">
        <v>298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302</v>
      </c>
      <c r="B27" s="71" t="s">
        <v>298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303</v>
      </c>
      <c r="B28" s="71" t="s">
        <v>298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105</v>
      </c>
      <c r="B29" s="118" t="s">
        <v>298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90</v>
      </c>
      <c r="B41" s="191" t="s">
        <v>145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106</v>
      </c>
      <c r="B44" s="72">
        <v>50000</v>
      </c>
      <c r="C44" s="72">
        <v>200000</v>
      </c>
    </row>
    <row r="45" spans="1:36">
      <c r="A45" t="s">
        <v>301</v>
      </c>
      <c r="B45" s="72">
        <v>25000</v>
      </c>
      <c r="C45" s="72">
        <v>50000</v>
      </c>
    </row>
    <row r="46" spans="1:36">
      <c r="A46" t="s">
        <v>302</v>
      </c>
      <c r="B46" s="72">
        <v>6000</v>
      </c>
      <c r="C46" s="72">
        <v>12000</v>
      </c>
    </row>
    <row r="47" spans="1:36">
      <c r="A47" t="s">
        <v>303</v>
      </c>
      <c r="B47" s="72">
        <v>4500</v>
      </c>
      <c r="C47" s="72">
        <v>12000</v>
      </c>
    </row>
    <row r="48" spans="1:36">
      <c r="A48" t="s">
        <v>105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314</v>
      </c>
      <c r="H52" s="12" t="s">
        <v>125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230</v>
      </c>
      <c r="E53" s="10" t="s">
        <v>189</v>
      </c>
      <c r="F53" s="10" t="s">
        <v>249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145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145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145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145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145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145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145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167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226</v>
      </c>
      <c r="J76" s="11" t="s">
        <v>348</v>
      </c>
      <c r="K76" s="11" t="s">
        <v>179</v>
      </c>
      <c r="AJ76" s="12"/>
    </row>
    <row r="77" spans="1:36">
      <c r="A77" t="s">
        <v>103</v>
      </c>
      <c r="B77" s="176">
        <v>0</v>
      </c>
      <c r="C77" s="12" t="s">
        <v>349</v>
      </c>
      <c r="E77" s="12" t="s">
        <v>145</v>
      </c>
      <c r="F77" s="12" t="s">
        <v>145</v>
      </c>
      <c r="G77" s="12" t="s">
        <v>350</v>
      </c>
      <c r="H77" s="12" t="s">
        <v>125</v>
      </c>
      <c r="I77" s="12" t="s">
        <v>351</v>
      </c>
      <c r="J77" s="136" t="s">
        <v>352</v>
      </c>
      <c r="K77" s="12" t="s">
        <v>145</v>
      </c>
      <c r="AJ77" s="12"/>
    </row>
    <row r="78" spans="1:36">
      <c r="A78" t="s">
        <v>145</v>
      </c>
      <c r="B78" s="176">
        <v>5</v>
      </c>
      <c r="C78" s="134" t="s">
        <v>353</v>
      </c>
      <c r="D78" s="133"/>
      <c r="E78" s="12" t="s">
        <v>354</v>
      </c>
      <c r="F78" s="12" t="s">
        <v>355</v>
      </c>
      <c r="G78" s="12" t="s">
        <v>104</v>
      </c>
      <c r="H78" s="12" t="s">
        <v>315</v>
      </c>
      <c r="I78" s="12" t="s">
        <v>356</v>
      </c>
      <c r="J78" s="70" t="s">
        <v>357</v>
      </c>
      <c r="K78" s="12" t="s">
        <v>145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358</v>
      </c>
      <c r="F79" s="12" t="s">
        <v>359</v>
      </c>
      <c r="G79" s="12" t="s">
        <v>107</v>
      </c>
      <c r="I79" s="12" t="s">
        <v>167</v>
      </c>
      <c r="J79" s="70" t="s">
        <v>360</v>
      </c>
      <c r="K79" s="12" t="s">
        <v>145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364</v>
      </c>
      <c r="K80" s="12" t="s">
        <v>103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103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