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<sst xmlns="http://schemas.openxmlformats.org/spreadsheetml/2006/main" uniqueCount="370">
  <si>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</si>
  <si>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</si>
  <si>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</si>
  <si>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</si>
  <si>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</si>
  <si>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</si>
  <si>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</si>
  <si>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</si>
  <si>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</si>
  <si>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</si>
  <si>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</si>
  <si>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</si>
  <si>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</si>
  <si>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</si>
  <si>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</si>
  <si>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</si>
  <si>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</si>
  <si>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</si>
  <si>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</si>
  <si>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</si>
  <si>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</si>
  <si>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</si>
  <si>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</si>
  <si>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</si>
  <si>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</si>
  <si>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</si>
  <si>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</si>
  <si>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</si>
  <si>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</si>
  <si>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</si>
  <si>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</si>
  <si>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</si>
  <si>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</si>
  <si>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</si>
  <si>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</si>
  <si>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</si>
  <si>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</si>
  <si>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</si>
  <si>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</si>
  <si>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</si>
  <si>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</si>
  <si>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</si>
  <si>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</si>
  <si>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</si>
  <si>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</si>
  <si>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</si>
  <si>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</si>
  <si>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</si>
  <si>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</si>
  <si>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</si>
  <si>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</si>
  <si>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</si>
  <si>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</si>
  <si>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</si>
  <si>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</si>
  <si>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</si>
  <si>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</si>
  <si>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</si>
  <si>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</si>
  <si>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</si>
  <si>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</si>
  <si>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</si>
  <si>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</si>
  <si>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</si>
  <si>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</si>
  <si>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</si>
  <si>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</si>
  <si>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</si>
  <si>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</si>
  <si>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</si>
  <si>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</si>
  <si>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</si>
  <si>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</si>
  <si>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</si>
  <si>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</si>
  <si>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</si>
  <si>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</si>
  <si>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</si>
  <si>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</si>
  <si>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</si>
  <si>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</si>
  <si>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</si>
  <si>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</si>
  <si>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</si>
  <si>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</si>
  <si>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</si>
  <si>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</si>
  <si>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</si>
  <si>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</si>
  <si>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</si>
  <si>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</si>
  <si>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</si>
  <si>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</si>
  <si>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</si>
  <si>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</si>
  <si>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</si>
  <si>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</si>
  <si>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</si>
  <si>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</si>
  <si>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</si>
  <si>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</si>
  <si>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</si>
  <si>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</si>
  <si>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</si>
  <si>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</si>
  <si>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</si>
  <si>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</si>
  <si>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</si>
  <si>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</si>
  <si>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</si>
  <si>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</si>
  <si>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</si>
  <si>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</si>
  <si>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</si>
  <si>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</si>
  <si>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</si>
  <si>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</si>
  <si>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</si>
  <si>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</si>
  <si>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</si>
  <si>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</si>
  <si>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</si>
  <si>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</si>
  <si>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</si>
  <si>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</si>
  <si>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</si>
  <si>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</si>
  <si>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</si>
  <si>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</si>
  <si>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</si>
  <si>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</si>
  <si>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</si>
  <si>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</si>
  <si>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</si>
  <si>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</si>
  <si>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12/3/2014</t>
  </si>
  <si>
    <t>Mshwari</t>
  </si>
  <si>
    <t>Loan fell in arrears due to client's ignorance.</t>
  </si>
  <si>
    <t>2/9/2017</t>
  </si>
  <si>
    <t>Yes</t>
  </si>
  <si>
    <t>Loan repaid.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</si>
  <si>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</si>
  <si>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</si>
  <si>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</si>
  <si>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</si>
  <si>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</si>
  <si>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</si>
  <si>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</si>
  <si>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February</t>
  </si>
  <si>
    <t>Loan info</t>
  </si>
  <si>
    <t>Branch ID</t>
  </si>
  <si>
    <t>Submission date</t>
  </si>
  <si>
    <t>2017/3/15</t>
  </si>
  <si>
    <t>Loan terms</t>
  </si>
  <si>
    <t>Expected disbursement date</t>
  </si>
  <si>
    <t>2017/3/17</t>
  </si>
  <si>
    <t>Expected first repayment date</t>
  </si>
  <si>
    <t>2017/4/21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</si>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</sst>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1.18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2018</v>
      </c>
    </row>
    <row r="13" spans="1:7">
      <c r="B13" s="1" t="s">
        <v>8</v>
      </c>
      <c r="C13" s="67">
        <f>IFERROR(Output!B107/Output!B101,"")</f>
        <v>0.4970178926441352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1100</v>
      </c>
    </row>
    <row r="25" spans="1:7">
      <c r="B25" s="1" t="s">
        <v>18</v>
      </c>
      <c r="C25" s="36">
        <f>MAX(Inputs!A56:A60)</f>
        <v>1500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7410</v>
      </c>
      <c r="I7" s="80">
        <f>IF(ISERROR(VLOOKUP(MONTH(I5),Inputs!$D$66:$D$71,1,0)),"",INDEX(Inputs!$B$66:$B$71,MATCH(MONTH(Output!I5),Inputs!$D$66:$D$71,0))-INDEX(Inputs!$C$66:$C$71,MATCH(MONTH(Output!I5),Inputs!$D$66:$D$71,0)))</f>
        <v>-1303</v>
      </c>
      <c r="J7" s="80">
        <f>IF(ISERROR(VLOOKUP(MONTH(J5),Inputs!$D$66:$D$71,1,0)),"",INDEX(Inputs!$B$66:$B$71,MATCH(MONTH(Output!J5),Inputs!$D$66:$D$71,0))-INDEX(Inputs!$C$66:$C$71,MATCH(MONTH(Output!J5),Inputs!$D$66:$D$71,0)))</f>
        <v>73</v>
      </c>
      <c r="K7" s="80">
        <f>IF(ISERROR(VLOOKUP(MONTH(K5),Inputs!$D$66:$D$71,1,0)),"",INDEX(Inputs!$B$66:$B$71,MATCH(MONTH(Output!K5),Inputs!$D$66:$D$71,0))-INDEX(Inputs!$C$66:$C$71,MATCH(MONTH(Output!K5),Inputs!$D$66:$D$71,0)))</f>
        <v>2235</v>
      </c>
      <c r="L7" s="80">
        <f>IF(ISERROR(VLOOKUP(MONTH(L5),Inputs!$D$66:$D$71,1,0)),"",INDEX(Inputs!$B$66:$B$71,MATCH(MONTH(Output!L5),Inputs!$D$66:$D$71,0))-INDEX(Inputs!$C$66:$C$71,MATCH(MONTH(Output!L5),Inputs!$D$66:$D$71,0)))</f>
        <v>1253</v>
      </c>
      <c r="M7" s="80">
        <f>IF(ISERROR(VLOOKUP(MONTH(M5),Inputs!$D$66:$D$71,1,0)),"",INDEX(Inputs!$B$66:$B$71,MATCH(MONTH(Output!M5),Inputs!$D$66:$D$71,0))-INDEX(Inputs!$C$66:$C$71,MATCH(MONTH(Output!M5),Inputs!$D$66:$D$71,0)))</f>
        <v>4550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7410</v>
      </c>
      <c r="U7" s="80">
        <f>IF(ISERROR(VLOOKUP(MONTH(U5),Inputs!$D$66:$D$71,1,0)),"",INDEX(Inputs!$B$66:$B$71,MATCH(MONTH(Output!U5),Inputs!$D$66:$D$71,0))-INDEX(Inputs!$C$66:$C$71,MATCH(MONTH(Output!U5),Inputs!$D$66:$D$71,0)))</f>
        <v>-1303</v>
      </c>
      <c r="V7" s="80">
        <f>IF(ISERROR(VLOOKUP(MONTH(V5),Inputs!$D$66:$D$71,1,0)),"",INDEX(Inputs!$B$66:$B$71,MATCH(MONTH(Output!V5),Inputs!$D$66:$D$71,0))-INDEX(Inputs!$C$66:$C$71,MATCH(MONTH(Output!V5),Inputs!$D$66:$D$71,0)))</f>
        <v>73</v>
      </c>
      <c r="W7" s="80">
        <f>IF(ISERROR(VLOOKUP(MONTH(W5),Inputs!$D$66:$D$71,1,0)),"",INDEX(Inputs!$B$66:$B$71,MATCH(MONTH(Output!W5),Inputs!$D$66:$D$71,0))-INDEX(Inputs!$C$66:$C$71,MATCH(MONTH(Output!W5),Inputs!$D$66:$D$71,0)))</f>
        <v>2235</v>
      </c>
      <c r="X7" s="80">
        <f>IF(ISERROR(VLOOKUP(MONTH(X5),Inputs!$D$66:$D$71,1,0)),"",INDEX(Inputs!$B$66:$B$71,MATCH(MONTH(Output!X5),Inputs!$D$66:$D$71,0))-INDEX(Inputs!$C$66:$C$71,MATCH(MONTH(Output!X5),Inputs!$D$66:$D$71,0)))</f>
        <v>1253</v>
      </c>
      <c r="Y7" s="80">
        <f>IF(ISERROR(VLOOKUP(MONTH(Y5),Inputs!$D$66:$D$71,1,0)),"",INDEX(Inputs!$B$66:$B$71,MATCH(MONTH(Output!Y5),Inputs!$D$66:$D$71,0))-INDEX(Inputs!$C$66:$C$71,MATCH(MONTH(Output!Y5),Inputs!$D$66:$D$71,0)))</f>
        <v>4550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100000</v>
      </c>
      <c r="C11" s="80">
        <f>C6+C9-C10</f>
        <v>-1500</v>
      </c>
      <c r="D11" s="80">
        <f>D6+D9-D10</f>
        <v>-1500</v>
      </c>
      <c r="E11" s="80">
        <f>E6+E9-E10</f>
        <v>-1500</v>
      </c>
      <c r="F11" s="80">
        <f>F6+F9-F10</f>
        <v>-1500</v>
      </c>
      <c r="G11" s="80">
        <f>G6+G9-G10</f>
        <v>-1500</v>
      </c>
      <c r="H11" s="80">
        <f>H6+H9-H10</f>
        <v>-15785.71428571429</v>
      </c>
      <c r="I11" s="80">
        <f>I6+I9-I10</f>
        <v>-15785.71428571429</v>
      </c>
      <c r="J11" s="80">
        <f>J6+J9-J10</f>
        <v>-15785.71428571429</v>
      </c>
      <c r="K11" s="80">
        <f>K6+K9-K10</f>
        <v>-15785.71428571429</v>
      </c>
      <c r="L11" s="80">
        <f>L6+L9-L10</f>
        <v>-15785.71428571429</v>
      </c>
      <c r="M11" s="80">
        <f>M6+M9-M10</f>
        <v>-15785.71428571429</v>
      </c>
      <c r="N11" s="80">
        <f>N6+N9-N10</f>
        <v>-15785.71428571429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-18000.00000000001</v>
      </c>
      <c r="AA11" s="80">
        <f>SUM(B11:M11)</f>
        <v>-2214.285714285728</v>
      </c>
      <c r="AB11" s="46">
        <f>SUM(B11:Y11)</f>
        <v>-18000.00000000001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0.015</v>
      </c>
      <c r="D12" s="82">
        <f>IF(D13="Yes",IF(SUM($B$10:D10)/(SUM($B$6:D6)+SUM($B$9:D9))&lt;0,999.99,SUM($B$10:D10)/(SUM($B$6:D6)+SUM($B$9:D9))),"")</f>
        <v>0.03</v>
      </c>
      <c r="E12" s="82">
        <f>IF(E13="Yes",IF(SUM($B$10:E10)/(SUM($B$6:E6)+SUM($B$9:E9))&lt;0,999.99,SUM($B$10:E10)/(SUM($B$6:E6)+SUM($B$9:E9))),"")</f>
        <v>0.045</v>
      </c>
      <c r="F12" s="82">
        <f>IF(F13="Yes",IF(SUM($B$10:F10)/(SUM($B$6:F6)+SUM($B$9:F9))&lt;0,999.99,SUM($B$10:F10)/(SUM($B$6:F6)+SUM($B$9:F9))),"")</f>
        <v>0.06</v>
      </c>
      <c r="G12" s="82">
        <f>IF(G13="Yes",IF(SUM($B$10:G10)/(SUM($B$6:G6)+SUM($B$9:G9))&lt;0,999.99,SUM($B$10:G10)/(SUM($B$6:G6)+SUM($B$9:G9))),"")</f>
        <v>0.075</v>
      </c>
      <c r="H12" s="82">
        <f>IF(H13="Yes",IF(SUM($B$10:H10)/(SUM($B$6:H6)+SUM($B$9:H9))&lt;0,999.99,SUM($B$10:H10)/(SUM($B$6:H6)+SUM($B$9:H9))),"")</f>
        <v>0.2328571428571429</v>
      </c>
      <c r="I12" s="82">
        <f>IF(I13="Yes",IF(SUM($B$10:I10)/(SUM($B$6:I6)+SUM($B$9:I9))&lt;0,999.99,SUM($B$10:I10)/(SUM($B$6:I6)+SUM($B$9:I9))),"")</f>
        <v>0.3907142857142857</v>
      </c>
      <c r="J12" s="82">
        <f>IF(J13="Yes",IF(SUM($B$10:J10)/(SUM($B$6:J6)+SUM($B$9:J9))&lt;0,999.99,SUM($B$10:J10)/(SUM($B$6:J6)+SUM($B$9:J9))),"")</f>
        <v>0.5485714285714286</v>
      </c>
      <c r="K12" s="82">
        <f>IF(K13="Yes",IF(SUM($B$10:K10)/(SUM($B$6:K6)+SUM($B$9:K9))&lt;0,999.99,SUM($B$10:K10)/(SUM($B$6:K6)+SUM($B$9:K9))),"")</f>
        <v>0.7064285714285714</v>
      </c>
      <c r="L12" s="82">
        <f>IF(L13="Yes",IF(SUM($B$10:L10)/(SUM($B$6:L6)+SUM($B$9:L9))&lt;0,999.99,SUM($B$10:L10)/(SUM($B$6:L6)+SUM($B$9:L9))),"")</f>
        <v>0.8642857142857143</v>
      </c>
      <c r="M12" s="82">
        <f>IF(M13="Yes",IF(SUM($B$10:M10)/(SUM($B$6:M6)+SUM($B$9:M9))&lt;0,999.99,SUM($B$10:M10)/(SUM($B$6:M6)+SUM($B$9:M9))),"")</f>
        <v>1.022142857142857</v>
      </c>
      <c r="N12" s="82">
        <f>IF(N13="Yes",IF(SUM($B$10:N10)/(SUM($B$6:N6)+SUM($B$9:N9))&lt;0,999.99,SUM($B$10:N10)/(SUM($B$6:N6)+SUM($B$9:N9))),"")</f>
        <v>1.18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201200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>
        <v>0</v>
      </c>
    </row>
    <row r="42" spans="1:48">
      <c r="A42" s="55" t="s">
        <v>117</v>
      </c>
      <c r="B42" s="139" t="s">
        <v>118</v>
      </c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115</v>
      </c>
    </row>
    <row r="45" spans="1:48">
      <c r="A45" s="56" t="s">
        <v>122</v>
      </c>
      <c r="B45" s="161"/>
    </row>
    <row r="46" spans="1:48" customHeight="1" ht="30">
      <c r="A46" s="57" t="s">
        <v>123</v>
      </c>
      <c r="B46" s="161">
        <v>50000</v>
      </c>
    </row>
    <row r="47" spans="1:48" customHeight="1" ht="30">
      <c r="A47" s="57" t="s">
        <v>124</v>
      </c>
      <c r="B47" s="161">
        <v>150000</v>
      </c>
    </row>
    <row r="48" spans="1:48" customHeight="1" ht="30">
      <c r="A48" s="57" t="s">
        <v>125</v>
      </c>
      <c r="B48" s="161">
        <v>0</v>
      </c>
    </row>
    <row r="49" spans="1:48" customHeight="1" ht="30">
      <c r="A49" s="57" t="s">
        <v>126</v>
      </c>
      <c r="B49" s="161">
        <v>1200</v>
      </c>
    </row>
    <row r="50" spans="1:48">
      <c r="A50" s="43"/>
      <c r="B50" s="36"/>
    </row>
    <row r="51" spans="1:48">
      <c r="A51" s="58" t="s">
        <v>127</v>
      </c>
      <c r="B51" s="161">
        <v>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>
        <v>1500</v>
      </c>
      <c r="B56" s="159">
        <v>0</v>
      </c>
      <c r="C56" s="162" t="s">
        <v>135</v>
      </c>
      <c r="D56" s="163" t="s">
        <v>136</v>
      </c>
      <c r="E56" s="163" t="s">
        <v>115</v>
      </c>
      <c r="F56" s="163" t="s">
        <v>137</v>
      </c>
    </row>
    <row r="57" spans="1:48">
      <c r="A57" s="157">
        <v>700</v>
      </c>
      <c r="B57" s="157">
        <v>0</v>
      </c>
      <c r="C57" s="164" t="s">
        <v>138</v>
      </c>
      <c r="D57" s="165" t="s">
        <v>136</v>
      </c>
      <c r="E57" s="165" t="s">
        <v>139</v>
      </c>
      <c r="F57" s="165" t="s">
        <v>140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142</v>
      </c>
      <c r="C65" s="10" t="s">
        <v>143</v>
      </c>
    </row>
    <row r="66" spans="1:48">
      <c r="A66" s="142" t="s">
        <v>144</v>
      </c>
      <c r="B66" s="159">
        <v>180403</v>
      </c>
      <c r="C66" s="163">
        <v>172993</v>
      </c>
      <c r="D66" s="49">
        <f>INDEX(Parameters!$D$79:$D$90,MATCH(Inputs!A66,Parameters!$C$79:$C$90,0))</f>
        <v>9</v>
      </c>
    </row>
    <row r="67" spans="1:48">
      <c r="A67" s="143" t="s">
        <v>145</v>
      </c>
      <c r="B67" s="157">
        <v>175153</v>
      </c>
      <c r="C67" s="165">
        <v>176456</v>
      </c>
      <c r="D67" s="49">
        <f>INDEX(Parameters!$D$79:$D$90,MATCH(Inputs!A67,Parameters!$C$79:$C$90,0))</f>
        <v>10</v>
      </c>
    </row>
    <row r="68" spans="1:48">
      <c r="A68" s="143" t="s">
        <v>146</v>
      </c>
      <c r="B68" s="157">
        <v>186227</v>
      </c>
      <c r="C68" s="165">
        <v>186154</v>
      </c>
      <c r="D68" s="49">
        <f>INDEX(Parameters!$D$79:$D$90,MATCH(Inputs!A68,Parameters!$C$79:$C$90,0))</f>
        <v>11</v>
      </c>
    </row>
    <row r="69" spans="1:48">
      <c r="A69" s="143" t="s">
        <v>147</v>
      </c>
      <c r="B69" s="157">
        <v>181315</v>
      </c>
      <c r="C69" s="165">
        <v>179080</v>
      </c>
      <c r="D69" s="49">
        <f>INDEX(Parameters!$D$79:$D$90,MATCH(Inputs!A69,Parameters!$C$79:$C$90,0))</f>
        <v>12</v>
      </c>
    </row>
    <row r="70" spans="1:48">
      <c r="A70" s="143" t="s">
        <v>118</v>
      </c>
      <c r="B70" s="157">
        <v>176524</v>
      </c>
      <c r="C70" s="165">
        <v>175271</v>
      </c>
      <c r="D70" s="49">
        <f>INDEX(Parameters!$D$79:$D$90,MATCH(Inputs!A70,Parameters!$C$79:$C$90,0))</f>
        <v>1</v>
      </c>
    </row>
    <row r="71" spans="1:48">
      <c r="A71" s="144" t="s">
        <v>148</v>
      </c>
      <c r="B71" s="158">
        <v>155438</v>
      </c>
      <c r="C71" s="167">
        <v>150888</v>
      </c>
      <c r="D71" s="49">
        <f>INDEX(Parameters!$D$79:$D$90,MATCH(Inputs!A71,Parameters!$C$79:$C$90,0))</f>
        <v>2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18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100000</v>
      </c>
    </row>
    <row r="82" spans="1:48">
      <c r="A82" t="s">
        <v>159</v>
      </c>
      <c r="B82" s="161">
        <v>18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>
        <v>5</v>
      </c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1500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700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42846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42826</v>
      </c>
      <c r="F33" t="s">
        <v>154</v>
      </c>
      <c r="G33" s="128">
        <f>IF(Inputs!B79="","",DATE(YEAR(Inputs!B79),MONTH(Inputs!B79),DAY(Inputs!B79)))</f>
        <v>42811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42876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42856</v>
      </c>
      <c r="F34" t="s">
        <v>156</v>
      </c>
      <c r="G34" s="128">
        <f>IF(Inputs!B80="","",DATE(YEAR(Inputs!B80),MONTH(Inputs!B80),DAY(Inputs!B80)))</f>
        <v>42846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42907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42887</v>
      </c>
      <c r="F35" t="s">
        <v>158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42937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42917</v>
      </c>
      <c r="F36" t="s">
        <v>159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42968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42948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42999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42979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43029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43009</v>
      </c>
      <c r="F39" t="s">
        <v>164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43060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43040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43090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43070</v>
      </c>
      <c r="F41" t="s">
        <v>222</v>
      </c>
      <c r="G41" s="73">
        <f>IFERROR(G35/(G38-G39),"")</f>
        <v>14285.71428571429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43121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43101</v>
      </c>
      <c r="F42" t="s">
        <v>223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43152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43180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43160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115</v>
      </c>
      <c r="C41" s="191" t="s">
        <v>139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311</v>
      </c>
      <c r="H52" s="12" t="s">
        <v>120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224</v>
      </c>
      <c r="E53" s="10" t="s">
        <v>183</v>
      </c>
      <c r="F53" s="10" t="s">
        <v>243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139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139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139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139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139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139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139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139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139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139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139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161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220</v>
      </c>
      <c r="J76" s="11" t="s">
        <v>345</v>
      </c>
      <c r="K76" s="11" t="s">
        <v>173</v>
      </c>
      <c r="AJ76" s="12"/>
    </row>
    <row r="77" spans="1:36">
      <c r="A77" t="s">
        <v>139</v>
      </c>
      <c r="B77" s="176">
        <v>0</v>
      </c>
      <c r="C77" s="12" t="s">
        <v>346</v>
      </c>
      <c r="E77" s="12" t="s">
        <v>115</v>
      </c>
      <c r="F77" s="12" t="s">
        <v>115</v>
      </c>
      <c r="G77" s="12" t="s">
        <v>347</v>
      </c>
      <c r="H77" s="12" t="s">
        <v>120</v>
      </c>
      <c r="I77" s="12" t="s">
        <v>348</v>
      </c>
      <c r="J77" s="136" t="s">
        <v>349</v>
      </c>
      <c r="K77" s="12" t="s">
        <v>115</v>
      </c>
      <c r="AJ77" s="12"/>
    </row>
    <row r="78" spans="1:36">
      <c r="A78" t="s">
        <v>115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312</v>
      </c>
      <c r="I78" s="12" t="s">
        <v>354</v>
      </c>
      <c r="J78" s="70" t="s">
        <v>355</v>
      </c>
      <c r="K78" s="12" t="s">
        <v>115</v>
      </c>
      <c r="AJ78" s="12"/>
    </row>
    <row r="79" spans="1:36">
      <c r="B79" s="176">
        <v>10</v>
      </c>
      <c r="C79" s="12" t="s">
        <v>118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161</v>
      </c>
      <c r="J79" s="70" t="s">
        <v>359</v>
      </c>
      <c r="K79" s="12" t="s">
        <v>115</v>
      </c>
      <c r="AJ79" s="12"/>
    </row>
    <row r="80" spans="1:36">
      <c r="B80" s="176">
        <v>20</v>
      </c>
      <c r="C80" s="12" t="s">
        <v>148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139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139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369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