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<sst xmlns="http://schemas.openxmlformats.org/spreadsheetml/2006/main" uniqueCount="369">
  <si>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</si>
  <si>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</si>
  <si>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</si>
  <si>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</si>
  <si>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</si>
  <si>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</si>
  <si>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</si>
  <si>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</si>
  <si>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</si>
  <si>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</si>
  <si>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</si>
  <si>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</si>
  <si>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</si>
  <si>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</si>
  <si>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</si>
  <si>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</si>
  <si>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</si>
  <si>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</si>
  <si>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</si>
  <si>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</si>
  <si>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</si>
  <si>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</si>
  <si>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</si>
  <si>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</si>
  <si>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</si>
  <si>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</si>
  <si>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</si>
  <si>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</si>
  <si>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</si>
  <si>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</si>
  <si>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</si>
  <si>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</si>
  <si>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</si>
  <si>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</si>
  <si>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</si>
  <si>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</si>
  <si>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</si>
  <si>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</si>
  <si>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</si>
  <si>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</si>
  <si>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</si>
  <si>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</si>
  <si>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</si>
  <si>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</si>
  <si>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</si>
  <si>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</si>
  <si>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</si>
  <si>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</si>
  <si>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</si>
  <si>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</si>
  <si>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</si>
  <si>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</si>
  <si>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</si>
  <si>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</si>
  <si>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</si>
  <si>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</si>
  <si>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</si>
  <si>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</si>
  <si>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</si>
  <si>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</si>
  <si>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</si>
  <si>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</si>
  <si>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</si>
  <si>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</si>
  <si>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</si>
  <si>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</si>
  <si>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</si>
  <si>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</si>
  <si>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</si>
  <si>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</si>
  <si>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</si>
  <si>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</si>
  <si>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</si>
  <si>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</si>
  <si>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</si>
  <si>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</si>
  <si>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</si>
  <si>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</si>
  <si>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</si>
  <si>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</si>
  <si>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</si>
  <si>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</si>
  <si>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</si>
  <si>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</si>
  <si>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</si>
  <si>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</si>
  <si>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</si>
  <si>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</si>
  <si>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</si>
  <si>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Wheat</t>
  </si>
  <si>
    <t>Shop_certified variety</t>
  </si>
  <si>
    <t>Yes Inorganic fertizers</t>
  </si>
  <si>
    <t>Yes</t>
  </si>
  <si>
    <t>No</t>
  </si>
  <si>
    <t>March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</si>
  <si>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</si>
  <si>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</si>
  <si>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</si>
  <si>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</si>
  <si>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</si>
  <si>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</si>
  <si>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</si>
  <si>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</si>
  <si>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</si>
  <si>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</si>
  <si>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</si>
  <si>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</si>
  <si>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</si>
  <si>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</si>
  <si>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</si>
  <si>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</si>
  <si>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</si>
  <si>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Rent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</si>
  <si>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</si>
  <si>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</si>
  <si>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</si>
  <si>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</si>
  <si>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</si>
  <si>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</si>
  <si>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</si>
  <si>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</si>
  <si>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</si>
  <si>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</si>
  <si>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</si>
  <si>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</si>
  <si>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</si>
  <si>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</si>
  <si>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</si>
  <si>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</si>
  <si>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</si>
  <si>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</si>
  <si>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</si>
  <si>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</si>
  <si>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</si>
  <si>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</si>
  <si>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</si>
  <si>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</si>
  <si>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</si>
  <si>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</si>
  <si>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</si>
  <si>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</si>
  <si>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12/15/2016</t>
  </si>
  <si>
    <t xml:space="preserve">Coopbank </t>
  </si>
  <si>
    <t xml:space="preserve">Good loan Repayment </t>
  </si>
  <si>
    <t>Mpesa &amp; bank cash flows (from past statements)</t>
  </si>
  <si>
    <t>Cash inflows</t>
  </si>
  <si>
    <t>Cash outflows</t>
  </si>
  <si>
    <t>February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</si>
  <si>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</si>
  <si>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</si>
  <si>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</si>
  <si>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</si>
  <si>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</si>
  <si>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</si>
  <si>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</si>
  <si>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2017/3/15</t>
  </si>
  <si>
    <t>Loan terms</t>
  </si>
  <si>
    <t>Expected disbursement date</t>
  </si>
  <si>
    <t>Expected first repayment date</t>
  </si>
  <si>
    <t>2017/4/15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</si>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</sst>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Wheat,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Rent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0.4403690449407066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0.1429916194790487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19666.66666666667</v>
      </c>
    </row>
    <row r="17" spans="1:7">
      <c r="B17" s="1" t="s">
        <v>11</v>
      </c>
      <c r="C17" s="36">
        <f>SUM(Output!B6:M6)</f>
        <v>626492.6236274731</v>
      </c>
    </row>
    <row r="18" spans="1:7">
      <c r="B18" s="1" t="s">
        <v>12</v>
      </c>
      <c r="C18" s="36">
        <f>MIN(Output!B6:M6)</f>
        <v>-496578.4790904152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December 2017</v>
      </c>
    </row>
    <row r="20" spans="1:7">
      <c r="B20" s="1" t="s">
        <v>14</v>
      </c>
      <c r="C20" s="36">
        <f>MAX(Output!B6:M6)</f>
        <v>1610138.707265812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500000</v>
      </c>
    </row>
    <row r="25" spans="1:7">
      <c r="B25" s="1" t="s">
        <v>18</v>
      </c>
      <c r="C25" s="36">
        <f>MAX(Inputs!A56:A60)</f>
        <v>500000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1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1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-290578.4790904152</v>
      </c>
      <c r="C6" s="51">
        <f>C30-C88</f>
        <v>-136578.4790904152</v>
      </c>
      <c r="D6" s="51">
        <f>D30-D88</f>
        <v>-136578.4790904152</v>
      </c>
      <c r="E6" s="51">
        <f>E30-E88</f>
        <v>-496578.4790904152</v>
      </c>
      <c r="F6" s="51">
        <f>F30-F88</f>
        <v>-136578.4790904152</v>
      </c>
      <c r="G6" s="51">
        <f>G30-G88</f>
        <v>1610138.707265812</v>
      </c>
      <c r="H6" s="51">
        <f>H30-H88</f>
        <v>-290578.4790904152</v>
      </c>
      <c r="I6" s="51">
        <f>I30-I88</f>
        <v>-136578.4790904152</v>
      </c>
      <c r="J6" s="51">
        <f>J30-J88</f>
        <v>-136578.4790904152</v>
      </c>
      <c r="K6" s="51">
        <f>K30-K88</f>
        <v>-496578.4790904152</v>
      </c>
      <c r="L6" s="51">
        <f>L30-L88</f>
        <v>-336578.4790904152</v>
      </c>
      <c r="M6" s="51">
        <f>M30-M88</f>
        <v>1610138.707265812</v>
      </c>
      <c r="N6" s="51">
        <f>N30-N88</f>
        <v>-290578.4790904152</v>
      </c>
      <c r="O6" s="51">
        <f>O30-O88</f>
        <v>-136578.4790904152</v>
      </c>
      <c r="P6" s="51">
        <f>P30-P88</f>
        <v>-136578.4790904152</v>
      </c>
      <c r="Q6" s="51">
        <f>Q30-Q88</f>
        <v>-496578.4790904152</v>
      </c>
      <c r="R6" s="51">
        <f>R30-R88</f>
        <v>-136578.4790904152</v>
      </c>
      <c r="S6" s="51">
        <f>S30-S88</f>
        <v>1632982.707265812</v>
      </c>
      <c r="T6" s="51">
        <f>T30-T88</f>
        <v>-256514.4790904152</v>
      </c>
      <c r="U6" s="51">
        <f>U30-U88</f>
        <v>-102514.4790904152</v>
      </c>
      <c r="V6" s="51">
        <f>V30-V88</f>
        <v>-102514.4790904152</v>
      </c>
      <c r="W6" s="51">
        <f>W30-W88</f>
        <v>-462514.4790904152</v>
      </c>
      <c r="X6" s="51">
        <f>X30-X88</f>
        <v>-302514.4790904152</v>
      </c>
      <c r="Y6" s="51">
        <f>Y30-Y88</f>
        <v>1644202.707265812</v>
      </c>
      <c r="Z6" s="51">
        <f>SUMIF($B$13:$Y$13,"Yes",B6:Y6)</f>
        <v>335914.144537058</v>
      </c>
      <c r="AA6" s="51">
        <f>AA30-AA88</f>
        <v>626492.6236274745</v>
      </c>
      <c r="AB6" s="51">
        <f>AB30-AB88</f>
        <v>1480213.247254951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230896</v>
      </c>
      <c r="I7" s="80">
        <f>IF(ISERROR(VLOOKUP(MONTH(I5),Inputs!$D$66:$D$71,1,0)),"",INDEX(Inputs!$B$66:$B$71,MATCH(MONTH(Output!I5),Inputs!$D$66:$D$71,0))-INDEX(Inputs!$C$66:$C$71,MATCH(MONTH(Output!I5),Inputs!$D$66:$D$71,0)))</f>
        <v>111878</v>
      </c>
      <c r="J7" s="80">
        <f>IF(ISERROR(VLOOKUP(MONTH(J5),Inputs!$D$66:$D$71,1,0)),"",INDEX(Inputs!$B$66:$B$71,MATCH(MONTH(Output!J5),Inputs!$D$66:$D$71,0))-INDEX(Inputs!$C$66:$C$71,MATCH(MONTH(Output!J5),Inputs!$D$66:$D$71,0)))</f>
        <v>1020916</v>
      </c>
      <c r="K7" s="80">
        <f>IF(ISERROR(VLOOKUP(MONTH(K5),Inputs!$D$66:$D$71,1,0)),"",INDEX(Inputs!$B$66:$B$71,MATCH(MONTH(Output!K5),Inputs!$D$66:$D$71,0))-INDEX(Inputs!$C$66:$C$71,MATCH(MONTH(Output!K5),Inputs!$D$66:$D$71,0)))</f>
        <v>187000</v>
      </c>
      <c r="L7" s="80">
        <f>IF(ISERROR(VLOOKUP(MONTH(L5),Inputs!$D$66:$D$71,1,0)),"",INDEX(Inputs!$B$66:$B$71,MATCH(MONTH(Output!L5),Inputs!$D$66:$D$71,0))-INDEX(Inputs!$C$66:$C$71,MATCH(MONTH(Output!L5),Inputs!$D$66:$D$71,0)))</f>
        <v>274900</v>
      </c>
      <c r="M7" s="80">
        <f>IF(ISERROR(VLOOKUP(MONTH(M5),Inputs!$D$66:$D$71,1,0)),"",INDEX(Inputs!$B$66:$B$71,MATCH(MONTH(Output!M5),Inputs!$D$66:$D$71,0))-INDEX(Inputs!$C$66:$C$71,MATCH(MONTH(Output!M5),Inputs!$D$66:$D$71,0)))</f>
        <v>108945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230896</v>
      </c>
      <c r="U7" s="80">
        <f>IF(ISERROR(VLOOKUP(MONTH(U5),Inputs!$D$66:$D$71,1,0)),"",INDEX(Inputs!$B$66:$B$71,MATCH(MONTH(Output!U5),Inputs!$D$66:$D$71,0))-INDEX(Inputs!$C$66:$C$71,MATCH(MONTH(Output!U5),Inputs!$D$66:$D$71,0)))</f>
        <v>111878</v>
      </c>
      <c r="V7" s="80">
        <f>IF(ISERROR(VLOOKUP(MONTH(V5),Inputs!$D$66:$D$71,1,0)),"",INDEX(Inputs!$B$66:$B$71,MATCH(MONTH(Output!V5),Inputs!$D$66:$D$71,0))-INDEX(Inputs!$C$66:$C$71,MATCH(MONTH(Output!V5),Inputs!$D$66:$D$71,0)))</f>
        <v>1020916</v>
      </c>
      <c r="W7" s="80">
        <f>IF(ISERROR(VLOOKUP(MONTH(W5),Inputs!$D$66:$D$71,1,0)),"",INDEX(Inputs!$B$66:$B$71,MATCH(MONTH(Output!W5),Inputs!$D$66:$D$71,0))-INDEX(Inputs!$C$66:$C$71,MATCH(MONTH(Output!W5),Inputs!$D$66:$D$71,0)))</f>
        <v>187000</v>
      </c>
      <c r="X7" s="80">
        <f>IF(ISERROR(VLOOKUP(MONTH(X5),Inputs!$D$66:$D$71,1,0)),"",INDEX(Inputs!$B$66:$B$71,MATCH(MONTH(Output!X5),Inputs!$D$66:$D$71,0))-INDEX(Inputs!$C$66:$C$71,MATCH(MONTH(Output!X5),Inputs!$D$66:$D$71,0)))</f>
        <v>274900</v>
      </c>
      <c r="Y7" s="80">
        <f>IF(ISERROR(VLOOKUP(MONTH(Y5),Inputs!$D$66:$D$71,1,0)),"",INDEX(Inputs!$B$66:$B$71,MATCH(MONTH(Output!Y5),Inputs!$D$66:$D$71,0))-INDEX(Inputs!$C$66:$C$71,MATCH(MONTH(Output!Y5),Inputs!$D$66:$D$71,0)))</f>
        <v>108945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19666.66666666667</v>
      </c>
      <c r="D10" s="37">
        <f>SUMPRODUCT((Calculations!$D$33:$D$84=Output!D5)+0,Calculations!$C$33:$C$84)</f>
        <v>19666.66666666667</v>
      </c>
      <c r="E10" s="37">
        <f>SUMPRODUCT((Calculations!$D$33:$D$84=Output!E5)+0,Calculations!$C$33:$C$84)</f>
        <v>19666.66666666667</v>
      </c>
      <c r="F10" s="37">
        <f>SUMPRODUCT((Calculations!$D$33:$D$84=Output!F5)+0,Calculations!$C$33:$C$84)</f>
        <v>19666.66666666667</v>
      </c>
      <c r="G10" s="37">
        <f>SUMPRODUCT((Calculations!$D$33:$D$84=Output!G5)+0,Calculations!$C$33:$C$84)</f>
        <v>19666.66666666667</v>
      </c>
      <c r="H10" s="37">
        <f>SUMPRODUCT((Calculations!$D$33:$D$84=Output!H5)+0,Calculations!$C$33:$C$84)</f>
        <v>19666.66666666667</v>
      </c>
      <c r="I10" s="37">
        <f>SUMPRODUCT((Calculations!$D$33:$D$84=Output!I5)+0,Calculations!$C$33:$C$84)</f>
        <v>19666.66666666667</v>
      </c>
      <c r="J10" s="37">
        <f>SUMPRODUCT((Calculations!$D$33:$D$84=Output!J5)+0,Calculations!$C$33:$C$84)</f>
        <v>19666.66666666667</v>
      </c>
      <c r="K10" s="37">
        <f>SUMPRODUCT((Calculations!$D$33:$D$84=Output!K5)+0,Calculations!$C$33:$C$84)</f>
        <v>19666.66666666667</v>
      </c>
      <c r="L10" s="37">
        <f>SUMPRODUCT((Calculations!$D$33:$D$84=Output!L5)+0,Calculations!$C$33:$C$84)</f>
        <v>19666.66666666667</v>
      </c>
      <c r="M10" s="37">
        <f>SUMPRODUCT((Calculations!$D$33:$D$84=Output!M5)+0,Calculations!$C$33:$C$84)</f>
        <v>19666.66666666667</v>
      </c>
      <c r="N10" s="37">
        <f>SUMPRODUCT((Calculations!$D$33:$D$84=Output!N5)+0,Calculations!$C$33:$C$84)</f>
        <v>19666.66666666667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236000</v>
      </c>
      <c r="AA10" s="37">
        <f>SUM(B10:M10)</f>
        <v>216333.3333333333</v>
      </c>
      <c r="AB10" s="37">
        <f>SUM(B10:Y10)</f>
        <v>236000</v>
      </c>
    </row>
    <row r="11" spans="1:30" customHeight="1" ht="15.75">
      <c r="A11" s="43" t="s">
        <v>31</v>
      </c>
      <c r="B11" s="80">
        <f>B6+B9-B10</f>
        <v>-90578.47909041517</v>
      </c>
      <c r="C11" s="80">
        <f>C6+C9-C10</f>
        <v>-156245.1457570818</v>
      </c>
      <c r="D11" s="80">
        <f>D6+D9-D10</f>
        <v>-156245.1457570818</v>
      </c>
      <c r="E11" s="80">
        <f>E6+E9-E10</f>
        <v>-516245.1457570819</v>
      </c>
      <c r="F11" s="80">
        <f>F6+F9-F10</f>
        <v>-156245.1457570818</v>
      </c>
      <c r="G11" s="80">
        <f>G6+G9-G10</f>
        <v>1590472.040599146</v>
      </c>
      <c r="H11" s="80">
        <f>H6+H9-H10</f>
        <v>-310245.1457570819</v>
      </c>
      <c r="I11" s="80">
        <f>I6+I9-I10</f>
        <v>-156245.1457570818</v>
      </c>
      <c r="J11" s="80">
        <f>J6+J9-J10</f>
        <v>-156245.1457570818</v>
      </c>
      <c r="K11" s="80">
        <f>K6+K9-K10</f>
        <v>-516245.1457570819</v>
      </c>
      <c r="L11" s="80">
        <f>L6+L9-L10</f>
        <v>-356245.1457570819</v>
      </c>
      <c r="M11" s="80">
        <f>M6+M9-M10</f>
        <v>1590472.040599146</v>
      </c>
      <c r="N11" s="80">
        <f>N6+N9-N10</f>
        <v>-310245.1457570819</v>
      </c>
      <c r="O11" s="80">
        <f>O6+O9-O10</f>
        <v>-136578.4790904152</v>
      </c>
      <c r="P11" s="80">
        <f>P6+P9-P10</f>
        <v>-136578.4790904152</v>
      </c>
      <c r="Q11" s="80">
        <f>Q6+Q9-Q10</f>
        <v>-496578.4790904152</v>
      </c>
      <c r="R11" s="80">
        <f>R6+R9-R10</f>
        <v>-136578.4790904152</v>
      </c>
      <c r="S11" s="80">
        <f>S6+S9-S10</f>
        <v>1632982.707265812</v>
      </c>
      <c r="T11" s="80">
        <f>T6+T9-T10</f>
        <v>-256514.4790904152</v>
      </c>
      <c r="U11" s="80">
        <f>U6+U9-U10</f>
        <v>-102514.4790904152</v>
      </c>
      <c r="V11" s="80">
        <f>V6+V9-V10</f>
        <v>-102514.4790904152</v>
      </c>
      <c r="W11" s="80">
        <f>W6+W9-W10</f>
        <v>-462514.4790904152</v>
      </c>
      <c r="X11" s="80">
        <f>X6+X9-X10</f>
        <v>-302514.4790904152</v>
      </c>
      <c r="Y11" s="80">
        <f>Y6+Y9-Y10</f>
        <v>1644202.707265812</v>
      </c>
      <c r="Z11" s="85">
        <f>SUMIF($B$13:$Y$13,"Yes",B11:Y11)</f>
        <v>299914.1445370576</v>
      </c>
      <c r="AA11" s="80">
        <f>SUM(B11:M11)</f>
        <v>610159.2902941394</v>
      </c>
      <c r="AB11" s="46">
        <f>SUM(B11:Y11)</f>
        <v>1444213.247254946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0.1603488377166147</v>
      </c>
      <c r="H12" s="82">
        <f>IF(H13="Yes",IF(SUM($B$10:H10)/(SUM($B$6:H6)+SUM($B$9:H9))&lt;0,999.99,SUM($B$10:H10)/(SUM($B$6:H6)+SUM($B$9:H9))),"")</f>
        <v>0.3657011577636303</v>
      </c>
      <c r="I12" s="82">
        <f>IF(I13="Yes",IF(SUM($B$10:I10)/(SUM($B$6:I6)+SUM($B$9:I9))&lt;0,999.99,SUM($B$10:I10)/(SUM($B$6:I6)+SUM($B$9:I9))),"")</f>
        <v>0.7397879780819608</v>
      </c>
      <c r="J12" s="82">
        <f>IF(J13="Yes",IF(SUM($B$10:J10)/(SUM($B$6:J6)+SUM($B$9:J9))&lt;0,999.99,SUM($B$10:J10)/(SUM($B$6:J6)+SUM($B$9:J9))),"")</f>
        <v>3.177753065103047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0.2617486558849698</v>
      </c>
      <c r="N12" s="82">
        <f>IF(N13="Yes",IF(SUM($B$10:N10)/(SUM($B$6:N6)+SUM($B$9:N9))&lt;0,999.99,SUM($B$10:N10)/(SUM($B$6:N6)+SUM($B$9:N9))),"")</f>
        <v>0.4403690449407066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Wheat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1746717.186356228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1746717.186356228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1746717.186356228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1746717.186356228</v>
      </c>
      <c r="Z18" s="36">
        <f>SUMIF($B$13:$Y$13,"Yes",B18:Y18)</f>
        <v>3493434.372712455</v>
      </c>
      <c r="AA18" s="36">
        <f>SUM(B18:M18)</f>
        <v>3493434.372712455</v>
      </c>
      <c r="AB18" s="36">
        <f>SUM(B18:Y18)</f>
        <v>6986868.74542491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36000</v>
      </c>
      <c r="C29" s="37">
        <f>Inputs!$B$30</f>
        <v>36000</v>
      </c>
      <c r="D29" s="37">
        <f>Inputs!$B$30</f>
        <v>36000</v>
      </c>
      <c r="E29" s="37">
        <f>Inputs!$B$30</f>
        <v>36000</v>
      </c>
      <c r="F29" s="37">
        <f>Inputs!$B$30</f>
        <v>36000</v>
      </c>
      <c r="G29" s="37">
        <f>Inputs!$B$30</f>
        <v>36000</v>
      </c>
      <c r="H29" s="37">
        <f>Inputs!$B$30</f>
        <v>36000</v>
      </c>
      <c r="I29" s="37">
        <f>Inputs!$B$30</f>
        <v>36000</v>
      </c>
      <c r="J29" s="37">
        <f>Inputs!$B$30</f>
        <v>36000</v>
      </c>
      <c r="K29" s="37">
        <f>Inputs!$B$30</f>
        <v>36000</v>
      </c>
      <c r="L29" s="37">
        <f>Inputs!$B$30</f>
        <v>36000</v>
      </c>
      <c r="M29" s="37">
        <f>Inputs!$B$30</f>
        <v>36000</v>
      </c>
      <c r="N29" s="37">
        <f>Inputs!$B$30</f>
        <v>36000</v>
      </c>
      <c r="O29" s="37">
        <f>Inputs!$B$30</f>
        <v>36000</v>
      </c>
      <c r="P29" s="37">
        <f>Inputs!$B$30</f>
        <v>36000</v>
      </c>
      <c r="Q29" s="37">
        <f>Inputs!$B$30</f>
        <v>36000</v>
      </c>
      <c r="R29" s="37">
        <f>Inputs!$B$30</f>
        <v>36000</v>
      </c>
      <c r="S29" s="37">
        <f>Inputs!$B$30</f>
        <v>36000</v>
      </c>
      <c r="T29" s="37">
        <f>Inputs!$B$30</f>
        <v>36000</v>
      </c>
      <c r="U29" s="37">
        <f>Inputs!$B$30</f>
        <v>36000</v>
      </c>
      <c r="V29" s="37">
        <f>Inputs!$B$30</f>
        <v>36000</v>
      </c>
      <c r="W29" s="37">
        <f>Inputs!$B$30</f>
        <v>36000</v>
      </c>
      <c r="X29" s="37">
        <f>Inputs!$B$30</f>
        <v>36000</v>
      </c>
      <c r="Y29" s="37">
        <f>Inputs!$B$30</f>
        <v>36000</v>
      </c>
      <c r="Z29" s="37">
        <f>SUMIF($B$13:$Y$13,"Yes",B29:Y29)</f>
        <v>468000</v>
      </c>
      <c r="AA29" s="37">
        <f>SUM(B29:M29)</f>
        <v>432000</v>
      </c>
      <c r="AB29" s="37">
        <f>SUM(B29:Y29)</f>
        <v>864000</v>
      </c>
    </row>
    <row r="30" spans="1:30" customHeight="1" ht="15.75">
      <c r="A30" s="1" t="s">
        <v>37</v>
      </c>
      <c r="B30" s="19">
        <f>SUM(B18:B29)</f>
        <v>36000</v>
      </c>
      <c r="C30" s="19">
        <f>SUM(C18:C29)</f>
        <v>36000</v>
      </c>
      <c r="D30" s="19">
        <f>SUM(D18:D29)</f>
        <v>36000</v>
      </c>
      <c r="E30" s="19">
        <f>SUM(E18:E29)</f>
        <v>36000</v>
      </c>
      <c r="F30" s="19">
        <f>SUM(F18:F29)</f>
        <v>36000</v>
      </c>
      <c r="G30" s="19">
        <f>SUM(G18:G29)</f>
        <v>1782717.186356228</v>
      </c>
      <c r="H30" s="19">
        <f>SUM(H18:H29)</f>
        <v>36000</v>
      </c>
      <c r="I30" s="19">
        <f>SUM(I18:I29)</f>
        <v>36000</v>
      </c>
      <c r="J30" s="19">
        <f>SUM(J18:J29)</f>
        <v>36000</v>
      </c>
      <c r="K30" s="19">
        <f>SUM(K18:K29)</f>
        <v>36000</v>
      </c>
      <c r="L30" s="19">
        <f>SUM(L18:L29)</f>
        <v>36000</v>
      </c>
      <c r="M30" s="19">
        <f>SUM(M18:M29)</f>
        <v>1782717.186356228</v>
      </c>
      <c r="N30" s="19">
        <f>SUM(N18:N29)</f>
        <v>36000</v>
      </c>
      <c r="O30" s="19">
        <f>SUM(O18:O29)</f>
        <v>36000</v>
      </c>
      <c r="P30" s="19">
        <f>SUM(P18:P29)</f>
        <v>36000</v>
      </c>
      <c r="Q30" s="19">
        <f>SUM(Q18:Q29)</f>
        <v>36000</v>
      </c>
      <c r="R30" s="19">
        <f>SUM(R18:R29)</f>
        <v>36000</v>
      </c>
      <c r="S30" s="19">
        <f>SUM(S18:S29)</f>
        <v>1782717.186356228</v>
      </c>
      <c r="T30" s="19">
        <f>SUM(T18:T29)</f>
        <v>36000</v>
      </c>
      <c r="U30" s="19">
        <f>SUM(U18:U29)</f>
        <v>36000</v>
      </c>
      <c r="V30" s="19">
        <f>SUM(V18:V29)</f>
        <v>36000</v>
      </c>
      <c r="W30" s="19">
        <f>SUM(W18:W29)</f>
        <v>36000</v>
      </c>
      <c r="X30" s="19">
        <f>SUM(X18:X29)</f>
        <v>36000</v>
      </c>
      <c r="Y30" s="19">
        <f>SUM(Y18:Y29)</f>
        <v>1782717.186356228</v>
      </c>
      <c r="Z30" s="19">
        <f>SUMIF($B$13:$Y$13,"Yes",B30:Y30)</f>
        <v>3961434.372712456</v>
      </c>
      <c r="AA30" s="19">
        <f>SUM(B30:M30)</f>
        <v>3925434.372712456</v>
      </c>
      <c r="AB30" s="19">
        <f>SUM(B30:Y30)</f>
        <v>7850868.745424911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Wheat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154000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154000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154000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154000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462000</v>
      </c>
      <c r="AA42" s="36">
        <f>SUM(B42:M42)</f>
        <v>308000</v>
      </c>
      <c r="AB42" s="36">
        <f>SUM(B42:Y42)</f>
        <v>616000</v>
      </c>
    </row>
    <row r="43" spans="1:30" hidden="true" outlineLevel="1">
      <c r="A43" s="181" t="str">
        <f>Calculations!$A$4</f>
        <v>Wheat</v>
      </c>
      <c r="B43" s="36">
        <f>N43</f>
        <v>154000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154000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154000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154000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462000</v>
      </c>
      <c r="AA43" s="36">
        <f>SUM(B43:M43)</f>
        <v>308000</v>
      </c>
      <c r="AB43" s="36">
        <f>SUM(B43:Y43)</f>
        <v>616000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360000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360000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360000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360000</v>
      </c>
      <c r="X48" s="46">
        <f>SUM(X49:X53)</f>
        <v>0</v>
      </c>
      <c r="Y48" s="46">
        <f>SUM(Y49:Y53)</f>
        <v>0</v>
      </c>
      <c r="Z48" s="46">
        <f>SUMIF($B$13:$Y$13,"Yes",B48:Y48)</f>
        <v>720000</v>
      </c>
      <c r="AA48" s="46">
        <f>SUM(B48:M48)</f>
        <v>720000</v>
      </c>
      <c r="AB48" s="46">
        <f>SUM(B48:Y48)</f>
        <v>1440000</v>
      </c>
    </row>
    <row r="49" spans="1:30" hidden="true" outlineLevel="1">
      <c r="A49" s="181" t="str">
        <f>Calculations!$A$4</f>
        <v>Wheat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360000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360000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360000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360000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720000</v>
      </c>
      <c r="AA49" s="46">
        <f>SUM(B49:M49)</f>
        <v>720000</v>
      </c>
      <c r="AB49" s="46">
        <f>SUM(B49:Y49)</f>
        <v>1440000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Wheat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Wheat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81000</v>
      </c>
      <c r="C66" s="36">
        <f>O66</f>
        <v>81000</v>
      </c>
      <c r="D66" s="36">
        <f>P66</f>
        <v>81000</v>
      </c>
      <c r="E66" s="36">
        <f>Q66</f>
        <v>81000</v>
      </c>
      <c r="F66" s="36">
        <f>R66</f>
        <v>81000</v>
      </c>
      <c r="G66" s="36">
        <f>S66</f>
        <v>81000</v>
      </c>
      <c r="H66" s="36">
        <f>T66</f>
        <v>81000</v>
      </c>
      <c r="I66" s="36">
        <f>U66</f>
        <v>81000</v>
      </c>
      <c r="J66" s="36">
        <f>V66</f>
        <v>81000</v>
      </c>
      <c r="K66" s="36">
        <f>W66</f>
        <v>81000</v>
      </c>
      <c r="L66" s="36">
        <f>X66</f>
        <v>81000</v>
      </c>
      <c r="M66" s="36">
        <f>Y66</f>
        <v>81000</v>
      </c>
      <c r="N66" s="46">
        <f>SUM(N67:N71)</f>
        <v>81000</v>
      </c>
      <c r="O66" s="46">
        <f>SUM(O67:O71)</f>
        <v>81000</v>
      </c>
      <c r="P66" s="46">
        <f>SUM(P67:P71)</f>
        <v>81000</v>
      </c>
      <c r="Q66" s="46">
        <f>SUM(Q67:Q71)</f>
        <v>81000</v>
      </c>
      <c r="R66" s="46">
        <f>SUM(R67:R71)</f>
        <v>81000</v>
      </c>
      <c r="S66" s="46">
        <f>SUM(S67:S71)</f>
        <v>81000</v>
      </c>
      <c r="T66" s="46">
        <f>SUM(T67:T71)</f>
        <v>81000</v>
      </c>
      <c r="U66" s="46">
        <f>SUM(U67:U71)</f>
        <v>81000</v>
      </c>
      <c r="V66" s="46">
        <f>SUM(V67:V71)</f>
        <v>81000</v>
      </c>
      <c r="W66" s="46">
        <f>SUM(W67:W71)</f>
        <v>81000</v>
      </c>
      <c r="X66" s="46">
        <f>SUM(X67:X71)</f>
        <v>81000</v>
      </c>
      <c r="Y66" s="46">
        <f>SUM(Y67:Y71)</f>
        <v>81000</v>
      </c>
      <c r="Z66" s="46">
        <f>SUMIF($B$13:$Y$13,"Yes",B66:Y66)</f>
        <v>1053000</v>
      </c>
      <c r="AA66" s="46">
        <f>SUM(B66:M66)</f>
        <v>972000</v>
      </c>
      <c r="AB66" s="46">
        <f>SUM(B66:Y66)</f>
        <v>1944000</v>
      </c>
    </row>
    <row r="67" spans="1:30" hidden="true" outlineLevel="1">
      <c r="A67" s="181" t="str">
        <f>Calculations!$A$4</f>
        <v>Wheat</v>
      </c>
      <c r="B67" s="36">
        <f>N67</f>
        <v>81000</v>
      </c>
      <c r="C67" s="36">
        <f>O67</f>
        <v>81000</v>
      </c>
      <c r="D67" s="36">
        <f>P67</f>
        <v>81000</v>
      </c>
      <c r="E67" s="36">
        <f>Q67</f>
        <v>81000</v>
      </c>
      <c r="F67" s="36">
        <f>R67</f>
        <v>81000</v>
      </c>
      <c r="G67" s="36">
        <f>S67</f>
        <v>81000</v>
      </c>
      <c r="H67" s="36">
        <f>T67</f>
        <v>81000</v>
      </c>
      <c r="I67" s="36">
        <f>U67</f>
        <v>81000</v>
      </c>
      <c r="J67" s="36">
        <f>V67</f>
        <v>81000</v>
      </c>
      <c r="K67" s="36">
        <f>W67</f>
        <v>81000</v>
      </c>
      <c r="L67" s="36">
        <f>X67</f>
        <v>81000</v>
      </c>
      <c r="M67" s="36">
        <f>Y67</f>
        <v>81000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81000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81000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81000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81000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81000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81000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81000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81000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81000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81000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81000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81000</v>
      </c>
      <c r="Z67" s="46">
        <f>SUMIF($B$13:$Y$13,"Yes",B67:Y67)</f>
        <v>1053000</v>
      </c>
      <c r="AA67" s="46">
        <f>SUM(B67:M67)</f>
        <v>972000</v>
      </c>
      <c r="AB67" s="46">
        <f>SUM(B67:Y67)</f>
        <v>1944000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200000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200000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200000</v>
      </c>
      <c r="AA72" s="46">
        <f>SUM(B72:M72)</f>
        <v>200000</v>
      </c>
      <c r="AB72" s="46">
        <f>SUM(B72:Y72)</f>
        <v>400000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57514.47909041517</v>
      </c>
      <c r="C81" s="46">
        <f>(SUM($AA$18:$AA$29)-SUM($AA$36,$AA$42,$AA$48,$AA$54,$AA$60,$AA$66,$AA$72:$AA$79))*Parameters!$B$37/12</f>
        <v>57514.47909041517</v>
      </c>
      <c r="D81" s="46">
        <f>(SUM($AA$18:$AA$29)-SUM($AA$36,$AA$42,$AA$48,$AA$54,$AA$60,$AA$66,$AA$72:$AA$79))*Parameters!$B$37/12</f>
        <v>57514.47909041517</v>
      </c>
      <c r="E81" s="46">
        <f>(SUM($AA$18:$AA$29)-SUM($AA$36,$AA$42,$AA$48,$AA$54,$AA$60,$AA$66,$AA$72:$AA$79))*Parameters!$B$37/12</f>
        <v>57514.47909041517</v>
      </c>
      <c r="F81" s="46">
        <f>(SUM($AA$18:$AA$29)-SUM($AA$36,$AA$42,$AA$48,$AA$54,$AA$60,$AA$66,$AA$72:$AA$79))*Parameters!$B$37/12</f>
        <v>57514.47909041517</v>
      </c>
      <c r="G81" s="46">
        <f>(SUM($AA$18:$AA$29)-SUM($AA$36,$AA$42,$AA$48,$AA$54,$AA$60,$AA$66,$AA$72:$AA$79))*Parameters!$B$37/12</f>
        <v>57514.47909041517</v>
      </c>
      <c r="H81" s="46">
        <f>(SUM($AA$18:$AA$29)-SUM($AA$36,$AA$42,$AA$48,$AA$54,$AA$60,$AA$66,$AA$72:$AA$79))*Parameters!$B$37/12</f>
        <v>57514.47909041517</v>
      </c>
      <c r="I81" s="46">
        <f>(SUM($AA$18:$AA$29)-SUM($AA$36,$AA$42,$AA$48,$AA$54,$AA$60,$AA$66,$AA$72:$AA$79))*Parameters!$B$37/12</f>
        <v>57514.47909041517</v>
      </c>
      <c r="J81" s="46">
        <f>(SUM($AA$18:$AA$29)-SUM($AA$36,$AA$42,$AA$48,$AA$54,$AA$60,$AA$66,$AA$72:$AA$79))*Parameters!$B$37/12</f>
        <v>57514.47909041517</v>
      </c>
      <c r="K81" s="46">
        <f>(SUM($AA$18:$AA$29)-SUM($AA$36,$AA$42,$AA$48,$AA$54,$AA$60,$AA$66,$AA$72:$AA$79))*Parameters!$B$37/12</f>
        <v>57514.47909041517</v>
      </c>
      <c r="L81" s="46">
        <f>(SUM($AA$18:$AA$29)-SUM($AA$36,$AA$42,$AA$48,$AA$54,$AA$60,$AA$66,$AA$72:$AA$79))*Parameters!$B$37/12</f>
        <v>57514.47909041517</v>
      </c>
      <c r="M81" s="46">
        <f>(SUM($AA$18:$AA$29)-SUM($AA$36,$AA$42,$AA$48,$AA$54,$AA$60,$AA$66,$AA$72:$AA$79))*Parameters!$B$37/12</f>
        <v>57514.47909041517</v>
      </c>
      <c r="N81" s="46">
        <f>(SUM($AA$18:$AA$29)-SUM($AA$36,$AA$42,$AA$48,$AA$54,$AA$60,$AA$66,$AA$72:$AA$79))*Parameters!$B$37/12</f>
        <v>57514.47909041517</v>
      </c>
      <c r="O81" s="46">
        <f>(SUM($AA$18:$AA$29)-SUM($AA$36,$AA$42,$AA$48,$AA$54,$AA$60,$AA$66,$AA$72:$AA$79))*Parameters!$B$37/12</f>
        <v>57514.47909041517</v>
      </c>
      <c r="P81" s="46">
        <f>(SUM($AA$18:$AA$29)-SUM($AA$36,$AA$42,$AA$48,$AA$54,$AA$60,$AA$66,$AA$72:$AA$79))*Parameters!$B$37/12</f>
        <v>57514.47909041517</v>
      </c>
      <c r="Q81" s="46">
        <f>(SUM($AA$18:$AA$29)-SUM($AA$36,$AA$42,$AA$48,$AA$54,$AA$60,$AA$66,$AA$72:$AA$79))*Parameters!$B$37/12</f>
        <v>57514.47909041517</v>
      </c>
      <c r="R81" s="46">
        <f>(SUM($AA$18:$AA$29)-SUM($AA$36,$AA$42,$AA$48,$AA$54,$AA$60,$AA$66,$AA$72:$AA$79))*Parameters!$B$37/12</f>
        <v>57514.47909041517</v>
      </c>
      <c r="S81" s="46">
        <f>(SUM($AA$18:$AA$29)-SUM($AA$36,$AA$42,$AA$48,$AA$54,$AA$60,$AA$66,$AA$72:$AA$79))*Parameters!$B$37/12</f>
        <v>57514.47909041517</v>
      </c>
      <c r="T81" s="46">
        <f>(SUM($AA$18:$AA$29)-SUM($AA$36,$AA$42,$AA$48,$AA$54,$AA$60,$AA$66,$AA$72:$AA$79))*Parameters!$B$37/12</f>
        <v>57514.47909041517</v>
      </c>
      <c r="U81" s="46">
        <f>(SUM($AA$18:$AA$29)-SUM($AA$36,$AA$42,$AA$48,$AA$54,$AA$60,$AA$66,$AA$72:$AA$79))*Parameters!$B$37/12</f>
        <v>57514.47909041517</v>
      </c>
      <c r="V81" s="46">
        <f>(SUM($AA$18:$AA$29)-SUM($AA$36,$AA$42,$AA$48,$AA$54,$AA$60,$AA$66,$AA$72:$AA$79))*Parameters!$B$37/12</f>
        <v>57514.47909041517</v>
      </c>
      <c r="W81" s="46">
        <f>(SUM($AA$18:$AA$29)-SUM($AA$36,$AA$42,$AA$48,$AA$54,$AA$60,$AA$66,$AA$72:$AA$79))*Parameters!$B$37/12</f>
        <v>57514.47909041517</v>
      </c>
      <c r="X81" s="46">
        <f>(SUM($AA$18:$AA$29)-SUM($AA$36,$AA$42,$AA$48,$AA$54,$AA$60,$AA$66,$AA$72:$AA$79))*Parameters!$B$37/12</f>
        <v>57514.47909041517</v>
      </c>
      <c r="Y81" s="46">
        <f>(SUM($AA$18:$AA$29)-SUM($AA$36,$AA$42,$AA$48,$AA$54,$AA$60,$AA$66,$AA$72:$AA$79))*Parameters!$B$37/12</f>
        <v>57514.47909041517</v>
      </c>
      <c r="Z81" s="46">
        <f>SUMIF($B$13:$Y$13,"Yes",B81:Y81)</f>
        <v>747688.2281753973</v>
      </c>
      <c r="AA81" s="46">
        <f>SUM(B81:M81)</f>
        <v>690173.7490849821</v>
      </c>
      <c r="AB81" s="46">
        <f>SUM(B81:Y81)</f>
        <v>1380347.498169964</v>
      </c>
    </row>
    <row r="82" spans="1:30">
      <c r="A82" s="16" t="s">
        <v>52</v>
      </c>
      <c r="B82" s="46">
        <f>SUM(B83:B87)</f>
        <v>34064</v>
      </c>
      <c r="C82" s="46">
        <f>SUM(C83:C87)</f>
        <v>34064</v>
      </c>
      <c r="D82" s="46">
        <f>SUM(D83:D87)</f>
        <v>34064</v>
      </c>
      <c r="E82" s="46">
        <f>SUM(E83:E87)</f>
        <v>34064</v>
      </c>
      <c r="F82" s="46">
        <f>SUM(F83:F87)</f>
        <v>34064</v>
      </c>
      <c r="G82" s="46">
        <f>SUM(G83:G87)</f>
        <v>34064</v>
      </c>
      <c r="H82" s="46">
        <f>SUM(H83:H87)</f>
        <v>34064</v>
      </c>
      <c r="I82" s="46">
        <f>SUM(I83:I87)</f>
        <v>34064</v>
      </c>
      <c r="J82" s="46">
        <f>SUM(J83:J87)</f>
        <v>34064</v>
      </c>
      <c r="K82" s="46">
        <f>SUM(K83:K87)</f>
        <v>34064</v>
      </c>
      <c r="L82" s="46">
        <f>SUM(L83:L87)</f>
        <v>34064</v>
      </c>
      <c r="M82" s="46">
        <f>SUM(M83:M87)</f>
        <v>34064</v>
      </c>
      <c r="N82" s="46">
        <f>SUM(N83:N87)</f>
        <v>34064</v>
      </c>
      <c r="O82" s="46">
        <f>SUM(O83:O87)</f>
        <v>34064</v>
      </c>
      <c r="P82" s="46">
        <f>SUM(P83:P87)</f>
        <v>34064</v>
      </c>
      <c r="Q82" s="46">
        <f>SUM(Q83:Q87)</f>
        <v>34064</v>
      </c>
      <c r="R82" s="46">
        <f>SUM(R83:R87)</f>
        <v>34064</v>
      </c>
      <c r="S82" s="46">
        <f>SUM(S83:S87)</f>
        <v>11219.99999999998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442832</v>
      </c>
      <c r="AA82" s="46">
        <f>SUM(B82:M82)</f>
        <v>408768</v>
      </c>
      <c r="AB82" s="46">
        <f>SUM(B82:Y82)</f>
        <v>590308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34064</v>
      </c>
      <c r="C83" s="46">
        <f>IF(Calculations!$E23&gt;COUNT(Output!$B$35:C$35),Calculations!$B23,IF(Calculations!$E23=COUNT(Output!$B$35:C$35),Inputs!$B56-Calculations!$C23*(Calculations!$E23-1)+Calculations!$D23,0))</f>
        <v>34064</v>
      </c>
      <c r="D83" s="46">
        <f>IF(Calculations!$E23&gt;COUNT(Output!$B$35:D$35),Calculations!$B23,IF(Calculations!$E23=COUNT(Output!$B$35:D$35),Inputs!$B56-Calculations!$C23*(Calculations!$E23-1)+Calculations!$D23,0))</f>
        <v>34064</v>
      </c>
      <c r="E83" s="46">
        <f>IF(Calculations!$E23&gt;COUNT(Output!$B$35:E$35),Calculations!$B23,IF(Calculations!$E23=COUNT(Output!$B$35:E$35),Inputs!$B56-Calculations!$C23*(Calculations!$E23-1)+Calculations!$D23,0))</f>
        <v>34064</v>
      </c>
      <c r="F83" s="46">
        <f>IF(Calculations!$E23&gt;COUNT(Output!$B$35:F$35),Calculations!$B23,IF(Calculations!$E23=COUNT(Output!$B$35:F$35),Inputs!$B56-Calculations!$C23*(Calculations!$E23-1)+Calculations!$D23,0))</f>
        <v>34064</v>
      </c>
      <c r="G83" s="46">
        <f>IF(Calculations!$E23&gt;COUNT(Output!$B$35:G$35),Calculations!$B23,IF(Calculations!$E23=COUNT(Output!$B$35:G$35),Inputs!$B56-Calculations!$C23*(Calculations!$E23-1)+Calculations!$D23,0))</f>
        <v>34064</v>
      </c>
      <c r="H83" s="46">
        <f>IF(Calculations!$E23&gt;COUNT(Output!$B$35:H$35),Calculations!$B23,IF(Calculations!$E23=COUNT(Output!$B$35:H$35),Inputs!$B56-Calculations!$C23*(Calculations!$E23-1)+Calculations!$D23,0))</f>
        <v>34064</v>
      </c>
      <c r="I83" s="46">
        <f>IF(Calculations!$E23&gt;COUNT(Output!$B$35:I$35),Calculations!$B23,IF(Calculations!$E23=COUNT(Output!$B$35:I$35),Inputs!$B56-Calculations!$C23*(Calculations!$E23-1)+Calculations!$D23,0))</f>
        <v>34064</v>
      </c>
      <c r="J83" s="46">
        <f>IF(Calculations!$E23&gt;COUNT(Output!$B$35:J$35),Calculations!$B23,IF(Calculations!$E23=COUNT(Output!$B$35:J$35),Inputs!$B56-Calculations!$C23*(Calculations!$E23-1)+Calculations!$D23,0))</f>
        <v>34064</v>
      </c>
      <c r="K83" s="46">
        <f>IF(Calculations!$E23&gt;COUNT(Output!$B$35:K$35),Calculations!$B23,IF(Calculations!$E23=COUNT(Output!$B$35:K$35),Inputs!$B56-Calculations!$C23*(Calculations!$E23-1)+Calculations!$D23,0))</f>
        <v>34064</v>
      </c>
      <c r="L83" s="46">
        <f>IF(Calculations!$E23&gt;COUNT(Output!$B$35:L$35),Calculations!$B23,IF(Calculations!$E23=COUNT(Output!$B$35:L$35),Inputs!$B56-Calculations!$C23*(Calculations!$E23-1)+Calculations!$D23,0))</f>
        <v>34064</v>
      </c>
      <c r="M83" s="46">
        <f>IF(Calculations!$E23&gt;COUNT(Output!$B$35:M$35),Calculations!$B23,IF(Calculations!$E23=COUNT(Output!$B$35:M$35),Inputs!$B56-Calculations!$C23*(Calculations!$E23-1)+Calculations!$D23,0))</f>
        <v>34064</v>
      </c>
      <c r="N83" s="46">
        <f>IF(Calculations!$E23&gt;COUNT(Output!$B$35:N$35),Calculations!$B23,IF(Calculations!$E23=COUNT(Output!$B$35:N$35),Inputs!$B56-Calculations!$C23*(Calculations!$E23-1)+Calculations!$D23,0))</f>
        <v>34064</v>
      </c>
      <c r="O83" s="46">
        <f>IF(Calculations!$E23&gt;COUNT(Output!$B$35:O$35),Calculations!$B23,IF(Calculations!$E23=COUNT(Output!$B$35:O$35),Inputs!$B56-Calculations!$C23*(Calculations!$E23-1)+Calculations!$D23,0))</f>
        <v>34064</v>
      </c>
      <c r="P83" s="46">
        <f>IF(Calculations!$E23&gt;COUNT(Output!$B$35:P$35),Calculations!$B23,IF(Calculations!$E23=COUNT(Output!$B$35:P$35),Inputs!$B56-Calculations!$C23*(Calculations!$E23-1)+Calculations!$D23,0))</f>
        <v>34064</v>
      </c>
      <c r="Q83" s="46">
        <f>IF(Calculations!$E23&gt;COUNT(Output!$B$35:Q$35),Calculations!$B23,IF(Calculations!$E23=COUNT(Output!$B$35:Q$35),Inputs!$B56-Calculations!$C23*(Calculations!$E23-1)+Calculations!$D23,0))</f>
        <v>34064</v>
      </c>
      <c r="R83" s="46">
        <f>IF(Calculations!$E23&gt;COUNT(Output!$B$35:R$35),Calculations!$B23,IF(Calculations!$E23=COUNT(Output!$B$35:R$35),Inputs!$B56-Calculations!$C23*(Calculations!$E23-1)+Calculations!$D23,0))</f>
        <v>34064</v>
      </c>
      <c r="S83" s="46">
        <f>IF(Calculations!$E23&gt;COUNT(Output!$B$35:S$35),Calculations!$B23,IF(Calculations!$E23=COUNT(Output!$B$35:S$35),Inputs!$B56-Calculations!$C23*(Calculations!$E23-1)+Calculations!$D23,0))</f>
        <v>11219.99999999998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442832</v>
      </c>
      <c r="AA83" s="46">
        <f>SUM(B83:M83)</f>
        <v>408768</v>
      </c>
      <c r="AB83" s="46">
        <f>SUM(B83:Y83)</f>
        <v>590308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326578.4790904152</v>
      </c>
      <c r="C88" s="19">
        <f>SUM(C72:C82,C66,C60,C54,C48,C42,C36)</f>
        <v>172578.4790904152</v>
      </c>
      <c r="D88" s="19">
        <f>SUM(D72:D82,D66,D60,D54,D48,D42,D36)</f>
        <v>172578.4790904152</v>
      </c>
      <c r="E88" s="19">
        <f>SUM(E72:E82,E66,E60,E54,E48,E42,E36)</f>
        <v>532578.4790904152</v>
      </c>
      <c r="F88" s="19">
        <f>SUM(F72:F82,F66,F60,F54,F48,F42,F36)</f>
        <v>172578.4790904152</v>
      </c>
      <c r="G88" s="19">
        <f>SUM(G72:G82,G66,G60,G54,G48,G42,G36)</f>
        <v>172578.4790904152</v>
      </c>
      <c r="H88" s="19">
        <f>SUM(H72:H82,H66,H60,H54,H48,H42,H36)</f>
        <v>326578.4790904152</v>
      </c>
      <c r="I88" s="19">
        <f>SUM(I72:I82,I66,I60,I54,I48,I42,I36)</f>
        <v>172578.4790904152</v>
      </c>
      <c r="J88" s="19">
        <f>SUM(J72:J82,J66,J60,J54,J48,J42,J36)</f>
        <v>172578.4790904152</v>
      </c>
      <c r="K88" s="19">
        <f>SUM(K72:K82,K66,K60,K54,K48,K42,K36)</f>
        <v>532578.4790904152</v>
      </c>
      <c r="L88" s="19">
        <f>SUM(L72:L82,L66,L60,L54,L48,L42,L36)</f>
        <v>372578.4790904152</v>
      </c>
      <c r="M88" s="19">
        <f>SUM(M72:M82,M66,M60,M54,M48,M42,M36)</f>
        <v>172578.4790904152</v>
      </c>
      <c r="N88" s="19">
        <f>SUM(N72:N82,N66,N60,N54,N48,N42,N36)</f>
        <v>326578.4790904152</v>
      </c>
      <c r="O88" s="19">
        <f>SUM(O72:O82,O66,O60,O54,O48,O42,O36)</f>
        <v>172578.4790904152</v>
      </c>
      <c r="P88" s="19">
        <f>SUM(P72:P82,P66,P60,P54,P48,P42,P36)</f>
        <v>172578.4790904152</v>
      </c>
      <c r="Q88" s="19">
        <f>SUM(Q72:Q82,Q66,Q60,Q54,Q48,Q42,Q36)</f>
        <v>532578.4790904152</v>
      </c>
      <c r="R88" s="19">
        <f>SUM(R72:R82,R66,R60,R54,R48,R42,R36)</f>
        <v>172578.4790904152</v>
      </c>
      <c r="S88" s="19">
        <f>SUM(S72:S82,S66,S60,S54,S48,S42,S36)</f>
        <v>149734.4790904152</v>
      </c>
      <c r="T88" s="19">
        <f>SUM(T72:T82,T66,T60,T54,T48,T42,T36)</f>
        <v>292514.4790904152</v>
      </c>
      <c r="U88" s="19">
        <f>SUM(U72:U82,U66,U60,U54,U48,U42,U36)</f>
        <v>138514.4790904152</v>
      </c>
      <c r="V88" s="19">
        <f>SUM(V72:V82,V66,V60,V54,V48,V42,V36)</f>
        <v>138514.4790904152</v>
      </c>
      <c r="W88" s="19">
        <f>SUM(W72:W82,W66,W60,W54,W48,W42,W36)</f>
        <v>498514.4790904152</v>
      </c>
      <c r="X88" s="19">
        <f>SUM(X72:X82,X66,X60,X54,X48,X42,X36)</f>
        <v>338514.4790904152</v>
      </c>
      <c r="Y88" s="19">
        <f>SUM(Y72:Y82,Y66,Y60,Y54,Y48,Y42,Y36)</f>
        <v>138514.4790904152</v>
      </c>
      <c r="Z88" s="19">
        <f>SUMIF($B$13:$Y$13,"Yes",B88:Y88)</f>
        <v>3625520.228175396</v>
      </c>
      <c r="AA88" s="19">
        <f>SUM(B88:M88)</f>
        <v>3298941.749084981</v>
      </c>
      <c r="AB88" s="19">
        <f>SUM(B88:Y88)</f>
        <v>6370655.49816996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65000</v>
      </c>
    </row>
    <row r="95" spans="1:30">
      <c r="A95" t="s">
        <v>61</v>
      </c>
      <c r="B95" s="36">
        <f>Inputs!B47</f>
        <v>650000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2500000</v>
      </c>
    </row>
    <row r="99" spans="1:30">
      <c r="A99" t="s">
        <v>65</v>
      </c>
      <c r="B99" s="36">
        <f>Inputs!B46</f>
        <v>1200000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4415000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6000</v>
      </c>
    </row>
    <row r="105" spans="1:30">
      <c r="A105" t="s">
        <v>70</v>
      </c>
      <c r="B105" s="36">
        <f>SUM(Inputs!B56:B60)</f>
        <v>425308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631308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10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36000</v>
      </c>
    </row>
    <row r="31" spans="1:48">
      <c r="A31" s="5" t="s">
        <v>114</v>
      </c>
      <c r="B31" s="158">
        <v>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93</v>
      </c>
    </row>
    <row r="41" spans="1:48">
      <c r="A41" s="55" t="s">
        <v>122</v>
      </c>
      <c r="B41" s="140">
        <v>200000</v>
      </c>
    </row>
    <row r="42" spans="1:48">
      <c r="A42" s="55" t="s">
        <v>123</v>
      </c>
      <c r="B42" s="139" t="s">
        <v>124</v>
      </c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2500000</v>
      </c>
    </row>
    <row r="46" spans="1:48" customHeight="1" ht="30">
      <c r="A46" s="57" t="s">
        <v>129</v>
      </c>
      <c r="B46" s="161">
        <v>1200000</v>
      </c>
    </row>
    <row r="47" spans="1:48" customHeight="1" ht="30">
      <c r="A47" s="57" t="s">
        <v>130</v>
      </c>
      <c r="B47" s="161">
        <v>650000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65000</v>
      </c>
    </row>
    <row r="50" spans="1:48">
      <c r="A50" s="43"/>
      <c r="B50" s="36"/>
    </row>
    <row r="51" spans="1:48">
      <c r="A51" s="58" t="s">
        <v>133</v>
      </c>
      <c r="B51" s="161">
        <v>6000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>
        <v>500000</v>
      </c>
      <c r="B56" s="159">
        <v>425308</v>
      </c>
      <c r="C56" s="162" t="s">
        <v>141</v>
      </c>
      <c r="D56" s="163" t="s">
        <v>142</v>
      </c>
      <c r="E56" s="163" t="s">
        <v>92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145</v>
      </c>
      <c r="C65" s="10" t="s">
        <v>146</v>
      </c>
    </row>
    <row r="66" spans="1:48">
      <c r="A66" s="142" t="s">
        <v>147</v>
      </c>
      <c r="B66" s="159">
        <v>261345</v>
      </c>
      <c r="C66" s="163">
        <v>152400</v>
      </c>
      <c r="D66" s="49">
        <f>INDEX(Parameters!$D$79:$D$90,MATCH(Inputs!A66,Parameters!$C$79:$C$90,0))</f>
        <v>2</v>
      </c>
    </row>
    <row r="67" spans="1:48">
      <c r="A67" s="143" t="s">
        <v>124</v>
      </c>
      <c r="B67" s="157">
        <v>485700</v>
      </c>
      <c r="C67" s="165">
        <v>210800</v>
      </c>
      <c r="D67" s="49">
        <f>INDEX(Parameters!$D$79:$D$90,MATCH(Inputs!A67,Parameters!$C$79:$C$90,0))</f>
        <v>1</v>
      </c>
    </row>
    <row r="68" spans="1:48">
      <c r="A68" s="143" t="s">
        <v>148</v>
      </c>
      <c r="B68" s="157">
        <v>312460</v>
      </c>
      <c r="C68" s="165">
        <v>125460</v>
      </c>
      <c r="D68" s="49">
        <f>INDEX(Parameters!$D$79:$D$90,MATCH(Inputs!A68,Parameters!$C$79:$C$90,0))</f>
        <v>12</v>
      </c>
    </row>
    <row r="69" spans="1:48">
      <c r="A69" s="143" t="s">
        <v>149</v>
      </c>
      <c r="B69" s="157">
        <v>1234564</v>
      </c>
      <c r="C69" s="165">
        <v>213648</v>
      </c>
      <c r="D69" s="49">
        <f>INDEX(Parameters!$D$79:$D$90,MATCH(Inputs!A69,Parameters!$C$79:$C$90,0))</f>
        <v>11</v>
      </c>
    </row>
    <row r="70" spans="1:48">
      <c r="A70" s="143" t="s">
        <v>150</v>
      </c>
      <c r="B70" s="157">
        <v>236458</v>
      </c>
      <c r="C70" s="165">
        <v>124580</v>
      </c>
      <c r="D70" s="49">
        <f>INDEX(Parameters!$D$79:$D$90,MATCH(Inputs!A70,Parameters!$C$79:$C$90,0))</f>
        <v>10</v>
      </c>
    </row>
    <row r="71" spans="1:48">
      <c r="A71" s="144" t="s">
        <v>151</v>
      </c>
      <c r="B71" s="158">
        <v>652400</v>
      </c>
      <c r="C71" s="167">
        <v>421504</v>
      </c>
      <c r="D71" s="49">
        <f>INDEX(Parameters!$D$79:$D$90,MATCH(Inputs!A71,Parameters!$C$79:$C$90,0))</f>
        <v>9</v>
      </c>
    </row>
    <row r="73" spans="1:48">
      <c r="A73" s="3" t="s">
        <v>152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153</v>
      </c>
      <c r="B75" s="161">
        <v>15</v>
      </c>
    </row>
    <row r="76" spans="1:48">
      <c r="A76" t="s">
        <v>154</v>
      </c>
      <c r="B76" s="168" t="s">
        <v>155</v>
      </c>
    </row>
    <row r="78" spans="1:48" customHeight="1" ht="20.25">
      <c r="B78" s="127" t="s">
        <v>156</v>
      </c>
    </row>
    <row r="79" spans="1:48">
      <c r="A79" t="s">
        <v>157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158</v>
      </c>
      <c r="B80" s="168" t="s">
        <v>159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160</v>
      </c>
      <c r="B81" s="161">
        <v>200000</v>
      </c>
    </row>
    <row r="82" spans="1:48">
      <c r="A82" t="s">
        <v>161</v>
      </c>
      <c r="B82" s="161">
        <v>18</v>
      </c>
    </row>
    <row r="83" spans="1:48">
      <c r="A83" t="s">
        <v>162</v>
      </c>
      <c r="B83" s="169" t="s">
        <v>163</v>
      </c>
    </row>
    <row r="84" spans="1:48">
      <c r="A84" t="s">
        <v>164</v>
      </c>
      <c r="B84" s="169">
        <v>1</v>
      </c>
    </row>
    <row r="85" spans="1:48">
      <c r="A85" t="s">
        <v>165</v>
      </c>
      <c r="B85" s="169">
        <v>12</v>
      </c>
    </row>
    <row r="86" spans="1:48">
      <c r="A86" t="s">
        <v>166</v>
      </c>
      <c r="B86" s="161"/>
    </row>
    <row r="87" spans="1:48">
      <c r="A87" t="s">
        <v>167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168</v>
      </c>
      <c r="C3" s="15" t="s">
        <v>169</v>
      </c>
      <c r="D3" s="15" t="s">
        <v>170</v>
      </c>
      <c r="E3" s="15" t="s">
        <v>171</v>
      </c>
      <c r="F3" s="15" t="s">
        <v>172</v>
      </c>
      <c r="G3" s="15" t="s">
        <v>173</v>
      </c>
      <c r="H3" s="15" t="s">
        <v>174</v>
      </c>
      <c r="I3" s="15" t="s">
        <v>175</v>
      </c>
      <c r="J3" s="15" t="s">
        <v>176</v>
      </c>
      <c r="K3" s="15" t="s">
        <v>177</v>
      </c>
      <c r="L3" s="15" t="s">
        <v>178</v>
      </c>
      <c r="M3" s="15" t="s">
        <v>179</v>
      </c>
      <c r="N3" s="15" t="s">
        <v>180</v>
      </c>
      <c r="O3" s="15" t="s">
        <v>181</v>
      </c>
      <c r="P3" s="15" t="s">
        <v>182</v>
      </c>
      <c r="Q3" s="32" t="s">
        <v>183</v>
      </c>
      <c r="R3" s="15" t="s">
        <v>184</v>
      </c>
      <c r="S3" s="15" t="s">
        <v>185</v>
      </c>
      <c r="T3" s="15" t="s">
        <v>186</v>
      </c>
      <c r="U3" s="178" t="s">
        <v>87</v>
      </c>
      <c r="V3" s="32" t="s">
        <v>187</v>
      </c>
      <c r="W3" s="32" t="s">
        <v>188</v>
      </c>
      <c r="X3" s="32" t="s">
        <v>189</v>
      </c>
      <c r="Y3" s="32" t="s">
        <v>190</v>
      </c>
      <c r="Z3" s="32" t="s">
        <v>43</v>
      </c>
      <c r="AA3" s="32" t="s">
        <v>191</v>
      </c>
      <c r="AB3" s="32" t="s">
        <v>192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Wheat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42795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42979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40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1599.557862963579</v>
      </c>
      <c r="M4" s="25">
        <f>L4*H4</f>
        <v>63982.31451854314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27.3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3493434.372712455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154000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360000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540000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193</v>
      </c>
      <c r="D13" s="15" t="s">
        <v>194</v>
      </c>
      <c r="E13" s="15" t="s">
        <v>195</v>
      </c>
      <c r="F13" s="15" t="s">
        <v>196</v>
      </c>
      <c r="G13" s="15" t="s">
        <v>197</v>
      </c>
      <c r="H13" s="15" t="s">
        <v>198</v>
      </c>
      <c r="I13" s="15" t="s">
        <v>199</v>
      </c>
      <c r="J13" s="15" t="s">
        <v>200</v>
      </c>
      <c r="K13" s="15" t="s">
        <v>201</v>
      </c>
      <c r="L13" s="15" t="s">
        <v>202</v>
      </c>
      <c r="M13" s="178" t="s">
        <v>203</v>
      </c>
      <c r="N13" s="178" t="s">
        <v>204</v>
      </c>
      <c r="O13" s="62" t="s">
        <v>205</v>
      </c>
      <c r="P13" s="62" t="s">
        <v>206</v>
      </c>
      <c r="Q13" s="62" t="s">
        <v>207</v>
      </c>
      <c r="R13" s="62" t="s">
        <v>208</v>
      </c>
      <c r="S13" s="62" t="s">
        <v>209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210</v>
      </c>
      <c r="C22" s="74" t="s">
        <v>211</v>
      </c>
      <c r="D22" s="74" t="s">
        <v>212</v>
      </c>
      <c r="E22" s="74" t="s">
        <v>213</v>
      </c>
    </row>
    <row r="23" spans="1:52">
      <c r="A23" s="75">
        <f>Inputs!A56</f>
        <v>500000</v>
      </c>
      <c r="B23" s="75">
        <f>SUM(C23:D23)</f>
        <v>34064</v>
      </c>
      <c r="C23" s="75">
        <f>IF(Inputs!B56&gt;0,(Inputs!A56-Inputs!B56)/(DATE(YEAR(Inputs!$B$76),MONTH(Inputs!$B$76),DAY(Inputs!$B$76))-DATE(YEAR(Inputs!C56),MONTH(Inputs!C56),DAY(Inputs!C56)))*30,0)</f>
        <v>24897.33333333334</v>
      </c>
      <c r="D23" s="75">
        <f>IF(Inputs!B56&gt;0,Inputs!A56*0.22/12,0)</f>
        <v>9166.666666666666</v>
      </c>
      <c r="E23" s="75">
        <f>IFERROR(ROUNDUP(Inputs!B56/C23,0),0)</f>
        <v>18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215</v>
      </c>
      <c r="B32" s="129" t="s">
        <v>216</v>
      </c>
      <c r="C32" s="129" t="s">
        <v>217</v>
      </c>
      <c r="D32" s="129" t="s">
        <v>218</v>
      </c>
      <c r="F32" s="132" t="s">
        <v>219</v>
      </c>
      <c r="G32" s="132" t="s">
        <v>220</v>
      </c>
      <c r="I32" s="174" t="s">
        <v>221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42840</v>
      </c>
      <c r="C33" s="27">
        <f>IF(B33&lt;&gt;"",IF(COUNT($A$33:A33)&lt;=$G$39,0,$G$41)+IF(COUNT($A$33:A33)&lt;=$G$40,0,$G$42),0)</f>
        <v>19666.66666666667</v>
      </c>
      <c r="D33" s="170">
        <f>IFERROR(DATE(YEAR(B33),MONTH(B33),1)," ")</f>
        <v>42826</v>
      </c>
      <c r="F33" t="s">
        <v>157</v>
      </c>
      <c r="G33" s="128">
        <f>IF(Inputs!B79="","",DATE(YEAR(Inputs!B79),MONTH(Inputs!B79),DAY(Inputs!B79)))</f>
        <v>42809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42870</v>
      </c>
      <c r="C34" s="27">
        <f>IF(B34&lt;&gt;"",IF(COUNT($A$33:A34)&lt;=$G$39,0,$G$41)+IF(COUNT($A$33:A34)&lt;=$G$40,0,$G$42),0)</f>
        <v>19666.66666666667</v>
      </c>
      <c r="D34" s="170">
        <f>IFERROR(DATE(YEAR(B34),MONTH(B34),1)," ")</f>
        <v>42856</v>
      </c>
      <c r="F34" t="s">
        <v>158</v>
      </c>
      <c r="G34" s="128">
        <f>IF(Inputs!B80="","",DATE(YEAR(Inputs!B80),MONTH(Inputs!B80),DAY(Inputs!B80)))</f>
        <v>42840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42901</v>
      </c>
      <c r="C35" s="27">
        <f>IF(B35&lt;&gt;"",IF(COUNT($A$33:A35)&lt;=$G$39,0,$G$41)+IF(COUNT($A$33:A35)&lt;=$G$40,0,$G$42),0)</f>
        <v>19666.66666666667</v>
      </c>
      <c r="D35" s="170">
        <f>IFERROR(DATE(YEAR(B35),MONTH(B35),1)," ")</f>
        <v>42887</v>
      </c>
      <c r="F35" t="s">
        <v>160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42931</v>
      </c>
      <c r="C36" s="27">
        <f>IF(B36&lt;&gt;"",IF(COUNT($A$33:A36)&lt;=$G$39,0,$G$41)+IF(COUNT($A$33:A36)&lt;=$G$40,0,$G$42),0)</f>
        <v>19666.66666666667</v>
      </c>
      <c r="D36" s="170">
        <f>IFERROR(DATE(YEAR(B36),MONTH(B36),1)," ")</f>
        <v>42917</v>
      </c>
      <c r="F36" t="s">
        <v>161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42962</v>
      </c>
      <c r="C37" s="27">
        <f>IF(B37&lt;&gt;"",IF(COUNT($A$33:A37)&lt;=$G$39,0,$G$41)+IF(COUNT($A$33:A37)&lt;=$G$40,0,$G$42),0)</f>
        <v>19666.66666666667</v>
      </c>
      <c r="D37" s="170">
        <f>IFERROR(DATE(YEAR(B37),MONTH(B37),1)," ")</f>
        <v>42948</v>
      </c>
      <c r="F37" t="s">
        <v>222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42993</v>
      </c>
      <c r="C38" s="27">
        <f>IF(B38&lt;&gt;"",IF(COUNT($A$33:A38)&lt;=$G$39,0,$G$41)+IF(COUNT($A$33:A38)&lt;=$G$40,0,$G$42),0)</f>
        <v>19666.66666666667</v>
      </c>
      <c r="D38" s="170">
        <f>IFERROR(DATE(YEAR(B38),MONTH(B38),1)," ")</f>
        <v>42979</v>
      </c>
      <c r="F38" t="s">
        <v>223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43023</v>
      </c>
      <c r="C39" s="27">
        <f>IF(B39&lt;&gt;"",IF(COUNT($A$33:A39)&lt;=$G$39,0,$G$41)+IF(COUNT($A$33:A39)&lt;=$G$40,0,$G$42),0)</f>
        <v>19666.66666666667</v>
      </c>
      <c r="D39" s="170">
        <f>IFERROR(DATE(YEAR(B39),MONTH(B39),1)," ")</f>
        <v>43009</v>
      </c>
      <c r="F39" t="s">
        <v>166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43054</v>
      </c>
      <c r="C40" s="27">
        <f>IF(B40&lt;&gt;"",IF(COUNT($A$33:A40)&lt;=$G$39,0,$G$41)+IF(COUNT($A$33:A40)&lt;=$G$40,0,$G$42),0)</f>
        <v>19666.66666666667</v>
      </c>
      <c r="D40" s="170">
        <f>IFERROR(DATE(YEAR(B40),MONTH(B40),1)," ")</f>
        <v>43040</v>
      </c>
      <c r="F40" t="s">
        <v>167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43084</v>
      </c>
      <c r="C41" s="27">
        <f>IF(B41&lt;&gt;"",IF(COUNT($A$33:A41)&lt;=$G$39,0,$G$41)+IF(COUNT($A$33:A41)&lt;=$G$40,0,$G$42),0)</f>
        <v>19666.66666666667</v>
      </c>
      <c r="D41" s="170">
        <f>IFERROR(DATE(YEAR(B41),MONTH(B41),1)," ")</f>
        <v>43070</v>
      </c>
      <c r="F41" t="s">
        <v>224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43115</v>
      </c>
      <c r="C42" s="27">
        <f>IF(B42&lt;&gt;"",IF(COUNT($A$33:A42)&lt;=$G$39,0,$G$41)+IF(COUNT($A$33:A42)&lt;=$G$40,0,$G$42),0)</f>
        <v>19666.66666666667</v>
      </c>
      <c r="D42" s="170">
        <f>IFERROR(DATE(YEAR(B42),MONTH(B42),1)," ")</f>
        <v>43101</v>
      </c>
      <c r="F42" t="s">
        <v>225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43146</v>
      </c>
      <c r="C43" s="27">
        <f>IF(B43&lt;&gt;"",IF(COUNT($A$33:A43)&lt;=$G$39,0,$G$41)+IF(COUNT($A$33:A43)&lt;=$G$40,0,$G$42),0)</f>
        <v>19666.66666666667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43174</v>
      </c>
      <c r="C44" s="27">
        <f>IF(B44&lt;&gt;"",IF(COUNT($A$33:A44)&lt;=$G$39,0,$G$41)+IF(COUNT($A$33:A44)&lt;=$G$40,0,$G$42),0)</f>
        <v>19666.66666666667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226</v>
      </c>
      <c r="C3" s="10" t="s">
        <v>227</v>
      </c>
      <c r="D3" s="10" t="s">
        <v>228</v>
      </c>
      <c r="E3" s="10" t="s">
        <v>229</v>
      </c>
      <c r="F3" s="10" t="s">
        <v>230</v>
      </c>
      <c r="G3" s="10" t="s">
        <v>231</v>
      </c>
      <c r="H3" s="10" t="s">
        <v>232</v>
      </c>
      <c r="I3" s="10" t="s">
        <v>233</v>
      </c>
      <c r="J3" s="10" t="s">
        <v>234</v>
      </c>
      <c r="K3" s="10" t="s">
        <v>235</v>
      </c>
      <c r="L3" s="10" t="s">
        <v>236</v>
      </c>
      <c r="M3" s="10" t="s">
        <v>237</v>
      </c>
      <c r="N3" s="10" t="s">
        <v>238</v>
      </c>
      <c r="O3" s="10" t="s">
        <v>239</v>
      </c>
      <c r="P3" s="10" t="s">
        <v>240</v>
      </c>
      <c r="Q3" s="10" t="s">
        <v>241</v>
      </c>
      <c r="R3" s="10" t="s">
        <v>242</v>
      </c>
      <c r="S3" s="10" t="s">
        <v>243</v>
      </c>
      <c r="T3" s="10" t="s">
        <v>244</v>
      </c>
      <c r="U3" s="10" t="s">
        <v>184</v>
      </c>
      <c r="V3" s="10" t="s">
        <v>182</v>
      </c>
      <c r="W3" s="10" t="s">
        <v>245</v>
      </c>
      <c r="X3" s="10" t="s">
        <v>246</v>
      </c>
      <c r="Y3" s="10" t="s">
        <v>247</v>
      </c>
      <c r="Z3" s="10" t="s">
        <v>248</v>
      </c>
      <c r="AA3" s="10" t="s">
        <v>249</v>
      </c>
      <c r="AB3" s="10" t="s">
        <v>250</v>
      </c>
      <c r="AC3" s="10" t="s">
        <v>251</v>
      </c>
      <c r="AD3" s="10" t="s">
        <v>252</v>
      </c>
      <c r="AE3" s="10" t="s">
        <v>253</v>
      </c>
      <c r="AF3" s="10" t="s">
        <v>254</v>
      </c>
      <c r="AG3" s="10" t="s">
        <v>255</v>
      </c>
      <c r="AH3" s="10" t="s">
        <v>256</v>
      </c>
      <c r="AI3" s="10" t="s">
        <v>257</v>
      </c>
    </row>
    <row r="4" spans="1:36" s="93" customFormat="1">
      <c r="A4" s="93" t="s">
        <v>258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89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198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260</v>
      </c>
      <c r="D24" s="115" t="s">
        <v>260</v>
      </c>
      <c r="E24" s="106">
        <v>0.05</v>
      </c>
      <c r="F24" s="106">
        <v>0.1</v>
      </c>
      <c r="G24" s="106">
        <v>0.2</v>
      </c>
      <c r="H24" s="116" t="s">
        <v>260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260</v>
      </c>
      <c r="J25" s="72" t="s">
        <v>260</v>
      </c>
      <c r="K25" s="72" t="s">
        <v>260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298</v>
      </c>
      <c r="B26" s="16" t="s">
        <v>294</v>
      </c>
      <c r="C26" s="116" t="s">
        <v>260</v>
      </c>
      <c r="D26" s="115" t="s">
        <v>260</v>
      </c>
      <c r="E26" s="106">
        <v>0.2</v>
      </c>
      <c r="F26" s="106">
        <v>0.7</v>
      </c>
      <c r="G26" s="106">
        <v>2</v>
      </c>
      <c r="H26" s="116" t="s">
        <v>260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299</v>
      </c>
      <c r="B27" s="71" t="s">
        <v>294</v>
      </c>
      <c r="C27" s="116" t="s">
        <v>260</v>
      </c>
      <c r="D27" s="115" t="s">
        <v>260</v>
      </c>
      <c r="E27" s="106">
        <v>0.15</v>
      </c>
      <c r="F27" s="106">
        <v>0.25</v>
      </c>
      <c r="G27" s="106">
        <v>1</v>
      </c>
      <c r="H27" s="116" t="s">
        <v>260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300</v>
      </c>
      <c r="B28" s="71" t="s">
        <v>294</v>
      </c>
      <c r="C28" s="116" t="s">
        <v>260</v>
      </c>
      <c r="D28" s="115" t="s">
        <v>260</v>
      </c>
      <c r="E28" s="106">
        <v>0.15</v>
      </c>
      <c r="F28" s="106">
        <v>0.25</v>
      </c>
      <c r="G28" s="106">
        <v>1</v>
      </c>
      <c r="H28" s="116" t="s">
        <v>260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301</v>
      </c>
      <c r="B29" s="118" t="s">
        <v>294</v>
      </c>
      <c r="C29" s="31" t="s">
        <v>260</v>
      </c>
      <c r="D29" s="31" t="s">
        <v>260</v>
      </c>
      <c r="E29" s="24">
        <v>0.1</v>
      </c>
      <c r="F29" s="24">
        <v>0.2</v>
      </c>
      <c r="G29" s="24">
        <v>0</v>
      </c>
      <c r="H29" s="31" t="s">
        <v>260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298</v>
      </c>
      <c r="B45" s="72">
        <v>25000</v>
      </c>
      <c r="C45" s="72">
        <v>50000</v>
      </c>
    </row>
    <row r="46" spans="1:36">
      <c r="A46" t="s">
        <v>299</v>
      </c>
      <c r="B46" s="72">
        <v>6000</v>
      </c>
      <c r="C46" s="72">
        <v>12000</v>
      </c>
    </row>
    <row r="47" spans="1:36">
      <c r="A47" t="s">
        <v>300</v>
      </c>
      <c r="B47" s="72">
        <v>4500</v>
      </c>
      <c r="C47" s="72">
        <v>12000</v>
      </c>
    </row>
    <row r="48" spans="1:36">
      <c r="A48" t="s">
        <v>301</v>
      </c>
      <c r="B48" s="72">
        <v>20000</v>
      </c>
      <c r="C48" s="72">
        <v>20000</v>
      </c>
      <c r="D48" s="72"/>
    </row>
    <row r="50" spans="1:36">
      <c r="A50" s="3" t="s">
        <v>311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268</v>
      </c>
      <c r="E52" s="12" t="s">
        <v>268</v>
      </c>
      <c r="F52" s="12" t="s">
        <v>268</v>
      </c>
      <c r="G52" s="12" t="s">
        <v>312</v>
      </c>
      <c r="H52" s="12" t="s">
        <v>126</v>
      </c>
      <c r="I52" s="12" t="s">
        <v>313</v>
      </c>
      <c r="AJ52" s="12"/>
    </row>
    <row r="53" spans="1:36" customHeight="1" ht="30">
      <c r="A53" s="11" t="s">
        <v>314</v>
      </c>
      <c r="B53" s="11" t="s">
        <v>315</v>
      </c>
      <c r="C53" s="11" t="s">
        <v>316</v>
      </c>
      <c r="D53" s="10" t="s">
        <v>226</v>
      </c>
      <c r="E53" s="10" t="s">
        <v>185</v>
      </c>
      <c r="F53" s="10" t="s">
        <v>245</v>
      </c>
      <c r="G53" s="10" t="s">
        <v>317</v>
      </c>
      <c r="H53" s="10" t="s">
        <v>318</v>
      </c>
      <c r="I53" s="10" t="s">
        <v>318</v>
      </c>
      <c r="AJ53" s="12"/>
    </row>
    <row r="54" spans="1:36">
      <c r="A54">
        <v>8</v>
      </c>
      <c r="B54" s="12" t="s">
        <v>319</v>
      </c>
      <c r="C54" s="12" t="s">
        <v>320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321</v>
      </c>
      <c r="C55" s="12" t="s">
        <v>320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322</v>
      </c>
      <c r="C56" s="116" t="s">
        <v>323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324</v>
      </c>
      <c r="C57" s="116" t="s">
        <v>320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325</v>
      </c>
      <c r="C58" s="116" t="s">
        <v>320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326</v>
      </c>
      <c r="C59" s="116" t="s">
        <v>323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327</v>
      </c>
      <c r="C60" s="116" t="s">
        <v>323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328</v>
      </c>
      <c r="C61" s="116" t="s">
        <v>323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329</v>
      </c>
      <c r="C62" s="116" t="s">
        <v>323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330</v>
      </c>
      <c r="C63" s="116" t="s">
        <v>323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331</v>
      </c>
      <c r="C64" s="116" t="s">
        <v>323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332</v>
      </c>
      <c r="C65" s="12" t="s">
        <v>323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333</v>
      </c>
      <c r="C66" s="12" t="s">
        <v>323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334</v>
      </c>
      <c r="C67" s="12" t="s">
        <v>323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335</v>
      </c>
      <c r="C68" s="12" t="s">
        <v>323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336</v>
      </c>
      <c r="C69" s="12" t="s">
        <v>323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337</v>
      </c>
      <c r="C70" s="12" t="s">
        <v>323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338</v>
      </c>
      <c r="C71" s="12" t="s">
        <v>320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340</v>
      </c>
      <c r="B76" s="11" t="s">
        <v>341</v>
      </c>
      <c r="C76" s="11" t="s">
        <v>163</v>
      </c>
      <c r="D76" s="11" t="s">
        <v>342</v>
      </c>
      <c r="E76" s="11" t="s">
        <v>80</v>
      </c>
      <c r="F76" s="11" t="s">
        <v>343</v>
      </c>
      <c r="G76" s="11" t="s">
        <v>344</v>
      </c>
      <c r="H76" s="11" t="s">
        <v>345</v>
      </c>
      <c r="I76" s="11" t="s">
        <v>222</v>
      </c>
      <c r="J76" s="11" t="s">
        <v>346</v>
      </c>
      <c r="K76" s="11" t="s">
        <v>175</v>
      </c>
      <c r="AJ76" s="12"/>
    </row>
    <row r="77" spans="1:36">
      <c r="A77" t="s">
        <v>92</v>
      </c>
      <c r="B77" s="176">
        <v>0</v>
      </c>
      <c r="C77" s="12" t="s">
        <v>347</v>
      </c>
      <c r="E77" s="12" t="s">
        <v>93</v>
      </c>
      <c r="F77" s="12" t="s">
        <v>93</v>
      </c>
      <c r="G77" s="12" t="s">
        <v>348</v>
      </c>
      <c r="H77" s="12" t="s">
        <v>126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313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124</v>
      </c>
      <c r="D79" s="12">
        <v>1</v>
      </c>
      <c r="E79" s="12" t="s">
        <v>357</v>
      </c>
      <c r="F79" s="12" t="s">
        <v>358</v>
      </c>
      <c r="G79" s="12" t="s">
        <v>359</v>
      </c>
      <c r="I79" s="12" t="s">
        <v>163</v>
      </c>
      <c r="J79" s="70" t="s">
        <v>360</v>
      </c>
      <c r="K79" s="12" t="s">
        <v>93</v>
      </c>
      <c r="AJ79" s="12"/>
    </row>
    <row r="80" spans="1:36">
      <c r="B80" s="176">
        <v>20</v>
      </c>
      <c r="C80" s="12" t="s">
        <v>147</v>
      </c>
      <c r="D80" s="12">
        <f>D79+1</f>
        <v>2</v>
      </c>
      <c r="E80" s="12" t="s">
        <v>361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150</v>
      </c>
      <c r="D88" s="12">
        <f>D87+1</f>
        <v>10</v>
      </c>
    </row>
    <row r="89" spans="1:36">
      <c r="C89" s="12" t="s">
        <v>149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