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<sst xmlns="http://schemas.openxmlformats.org/spreadsheetml/2006/main" uniqueCount="369">
  <si>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</si>
  <si>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</si>
  <si>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</si>
  <si>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</si>
  <si>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</si>
  <si>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</si>
  <si>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</si>
  <si>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</si>
  <si>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</si>
  <si>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</si>
  <si>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</si>
  <si>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</si>
  <si>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</si>
  <si>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</si>
  <si>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</si>
  <si>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</si>
  <si>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</si>
  <si>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</si>
  <si>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</si>
  <si>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</si>
  <si>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</si>
  <si>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</si>
  <si>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</si>
  <si>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</si>
  <si>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</si>
  <si>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</si>
  <si>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</si>
  <si>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</si>
  <si>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</si>
  <si>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</si>
  <si>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</si>
  <si>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</si>
  <si>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</si>
  <si>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</si>
  <si>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</si>
  <si>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</si>
  <si>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</si>
  <si>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</si>
  <si>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</si>
  <si>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</si>
  <si>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</si>
  <si>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</si>
  <si>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</si>
  <si>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</si>
  <si>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</si>
  <si>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</si>
  <si>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</si>
  <si>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</si>
  <si>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</si>
  <si>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</si>
  <si>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</si>
  <si>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</si>
  <si>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</si>
  <si>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</si>
  <si>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</si>
  <si>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</si>
  <si>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</si>
  <si>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</si>
  <si>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</si>
  <si>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</si>
  <si>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</si>
  <si>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</si>
  <si>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</si>
  <si>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</si>
  <si>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</si>
  <si>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</si>
  <si>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</si>
  <si>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</si>
  <si>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</si>
  <si>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</si>
  <si>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</si>
  <si>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</si>
  <si>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</si>
  <si>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</si>
  <si>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</si>
  <si>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</si>
  <si>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</si>
  <si>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</si>
  <si>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</si>
  <si>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</si>
  <si>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</si>
  <si>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</si>
  <si>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</si>
  <si>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</si>
  <si>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</si>
  <si>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</si>
  <si>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</si>
  <si>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</si>
  <si>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</si>
  <si>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</si>
  <si>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</si>
  <si>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</si>
  <si>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</si>
  <si>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</si>
  <si>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</si>
  <si>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</si>
  <si>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</si>
  <si>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</si>
  <si>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</si>
  <si>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</si>
  <si>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</si>
  <si>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</si>
  <si>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</si>
  <si>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</si>
  <si>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Always</t>
  </si>
  <si>
    <t>Cows_dairy</t>
  </si>
  <si>
    <t>Chicken_broilers</t>
  </si>
  <si>
    <t>No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</si>
  <si>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</si>
  <si>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</si>
  <si>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</si>
  <si>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</si>
  <si>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</si>
  <si>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</si>
  <si>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</si>
  <si>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</si>
  <si>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</si>
  <si>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</si>
  <si>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</si>
  <si>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</si>
  <si>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</si>
  <si>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</si>
  <si>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</si>
  <si>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</si>
  <si>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</si>
  <si>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</si>
  <si>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</si>
  <si>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</si>
  <si>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</si>
  <si>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</si>
  <si>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</si>
  <si>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</si>
  <si>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</si>
  <si>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</si>
  <si>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</si>
  <si>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</si>
  <si>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</si>
  <si>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</si>
  <si>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</si>
  <si>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4/15/2016</t>
  </si>
  <si>
    <t>Equity</t>
  </si>
  <si>
    <t>Well paid</t>
  </si>
  <si>
    <t>9/26/2016</t>
  </si>
  <si>
    <t>Premier</t>
  </si>
  <si>
    <t>Mpesa &amp; bank cash flows (from past statements)</t>
  </si>
  <si>
    <t>Cash inflows</t>
  </si>
  <si>
    <t>Cash outflows</t>
  </si>
  <si>
    <t>March</t>
  </si>
  <si>
    <t>April</t>
  </si>
  <si>
    <t>May</t>
  </si>
  <si>
    <t>June</t>
  </si>
  <si>
    <t>July</t>
  </si>
  <si>
    <t>August</t>
  </si>
  <si>
    <t>Loan info</t>
  </si>
  <si>
    <t>Branch ID</t>
  </si>
  <si>
    <t>Submission date</t>
  </si>
  <si>
    <t>2017/3/17</t>
  </si>
  <si>
    <t>Loan terms</t>
  </si>
  <si>
    <t>Expected disbursement date</t>
  </si>
  <si>
    <t>Expected first repayment date</t>
  </si>
  <si>
    <t>2017/4/17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</si>
  <si>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</si>
  <si>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</si>
  <si>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</si>
  <si>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</si>
  <si>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</si>
  <si>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</si>
  <si>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</si>
  <si>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</si>
  <si>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</si>
  <si>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</si>
  <si>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</si>
  <si>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</si>
  <si>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</si>
  <si>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</si>
  <si>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</si>
  <si>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</si>
  <si>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</si>
  <si>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</si>
  <si>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</si>
  <si>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</si>
  <si>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</si>
  <si>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</si>
  <si>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</si>
  <si>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</si>
  <si>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</si>
  <si>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</si>
  <si>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</si>
  <si>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</si>
  <si>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</si>
  <si>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</si>
  <si>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</si>
  <si>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</si>
  <si>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</si>
  <si>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</si>
  <si>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</si>
  <si>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</si>
  <si>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</si>
  <si>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</si>
  <si>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</si>
  <si>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</si>
  <si>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</si>
  <si>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</si>
  <si>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</si>
  <si>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</si>
  <si>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</si>
  <si>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</si>
  <si>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</si>
  <si>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</si>
  <si>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</si>
  <si>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</si>
  <si>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</si>
  <si>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</si>
  <si>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</si>
  <si>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</si>
  <si>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</si>
  <si>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</si>
  <si>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</si>
  <si>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</si>
  <si>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</si>
  <si>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</si>
  <si>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</si>
  <si>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</si>
  <si>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</si>
  <si>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</si>
  <si>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</si>
  <si>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</si>
  <si>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</si>
  <si>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</si>
  <si>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</si>
  <si>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</si>
  <si>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</si>
  <si>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</si>
  <si>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</si>
  <si>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</si>
  <si>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</si>
  <si>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</si>
  <si>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</si>
  <si>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</si>
  <si>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</si>
  <si>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</si>
  <si>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</si>
  <si>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</si>
  <si>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</si>
  <si>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</si>
  <si>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</si>
  <si>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</si>
  <si>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</si>
  <si>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</si>
  <si>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</si>
  <si>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</si>
  <si>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</si>
  <si>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</si>
  <si>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</si>
  <si>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</si>
  <si>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</si>
  <si>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</si>
  <si>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</si>
  <si>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</si>
  <si>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</si>
  <si>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</si>
  <si>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</si>
  <si>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</si>
  <si>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</si>
  <si>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</si>
  <si>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</si>
  <si>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</si>
  <si>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</si>
  <si>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</si>
  <si>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</si>
  <si>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</si>
  <si>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</si>
  <si>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</si>
  <si>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</si>
  <si>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</si>
  <si>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</si>
  <si>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</si>
  <si>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</si>
  <si>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</si>
  <si>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</si>
  <si>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</si>
  <si>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</si>
  <si>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</si>
  <si>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</si>
  <si>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</si>
  <si>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</si>
  <si>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</si>
  <si>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</si>
  <si>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</si>
  <si>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</si>
  <si>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</si>
  <si>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</si>
  <si>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</si>
  <si>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</si>
  <si>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</si>
  <si>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</si>
  <si>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</si>
  <si>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</si>
  <si>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</si>
  <si>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</si>
  <si>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</si>
  <si>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</si>
  <si>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</si>
  <si>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</si>
  <si>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</si>
  <si>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</si>
  <si>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</si>
  <si>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</si>
  <si>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</si>
  <si>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</si>
  <si>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</si>
  <si>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</si>
  <si>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</si>
  <si>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</si>
  <si>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</si>
  <si>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</si>
  <si>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</si>
  <si>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</si>
  <si>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</si>
  <si>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</si>
  <si>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</si>
  <si>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</si>
  <si>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</si>
  <si>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</si>
  <si>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</si>
  <si>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</si>
  <si>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</si>
  <si>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</si>
  <si>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</si>
  <si>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</si>
  <si>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</si>
  <si>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</si>
  <si>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</si>
  <si>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</si>
  <si>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</si>
  <si>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</si>
  <si>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</si>
  <si>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</si>
  <si>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</si>
  <si>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</si>
  <si>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</si>
  <si>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</si>
  <si>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</si>
  <si>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</si>
  <si>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</si>
  <si>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</si>
  <si>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</si>
  <si>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</si>
  <si>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</si>
  <si>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</si>
  <si>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</si>
  <si>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</si>
  <si>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</si>
  <si>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</si>
  <si>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</si>
  <si>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</si>
  <si>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</si>
  <si>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</si>
  <si>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</si>
  <si>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</si>
  <si>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</si>
  <si>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</si>
  <si>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</si>
  <si>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</si>
  <si>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NGO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</si>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</sst>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Cows_dairy, Chicken_broilers,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0.05754960924092103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2017</v>
      </c>
    </row>
    <row r="13" spans="1:7">
      <c r="B13" s="1" t="s">
        <v>8</v>
      </c>
      <c r="C13" s="67">
        <f>IFERROR(Output!B107/Output!B101,"")</f>
        <v>0.1135343638525565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19666.66666666667</v>
      </c>
    </row>
    <row r="17" spans="1:7">
      <c r="B17" s="1" t="s">
        <v>11</v>
      </c>
      <c r="C17" s="36">
        <f>SUM(Output!B6:M6)</f>
        <v>3572920.918546367</v>
      </c>
    </row>
    <row r="18" spans="1:7">
      <c r="B18" s="1" t="s">
        <v>12</v>
      </c>
      <c r="C18" s="36">
        <f>MIN(Output!B6:M6)</f>
        <v>260833.9149545375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327888.8543233083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300000</v>
      </c>
    </row>
    <row r="25" spans="1:7">
      <c r="B25" s="1" t="s">
        <v>18</v>
      </c>
      <c r="C25" s="36">
        <f>MAX(Inputs!A56:A60)</f>
        <v>400000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281200.6358847701</v>
      </c>
      <c r="C6" s="51">
        <f>C30-C88</f>
        <v>281200.6358847701</v>
      </c>
      <c r="D6" s="51">
        <f>D30-D88</f>
        <v>281200.6358847701</v>
      </c>
      <c r="E6" s="51">
        <f>E30-E88</f>
        <v>281200.6358847701</v>
      </c>
      <c r="F6" s="51">
        <f>F30-F88</f>
        <v>281200.6358847701</v>
      </c>
      <c r="G6" s="51">
        <f>G30-G88</f>
        <v>281200.6358847701</v>
      </c>
      <c r="H6" s="51">
        <f>H30-H88</f>
        <v>260833.9149545375</v>
      </c>
      <c r="I6" s="51">
        <f>I30-I88</f>
        <v>313327.770989975</v>
      </c>
      <c r="J6" s="51">
        <f>J30-J88</f>
        <v>327888.8543233083</v>
      </c>
      <c r="K6" s="51">
        <f>K30-K88</f>
        <v>327888.8543233083</v>
      </c>
      <c r="L6" s="51">
        <f>L30-L88</f>
        <v>327888.8543233083</v>
      </c>
      <c r="M6" s="51">
        <f>M30-M88</f>
        <v>327888.8543233083</v>
      </c>
      <c r="N6" s="51">
        <f>N30-N88</f>
        <v>327888.8543233083</v>
      </c>
      <c r="O6" s="51">
        <f>O30-O88</f>
        <v>327888.8543233083</v>
      </c>
      <c r="P6" s="51">
        <f>P30-P88</f>
        <v>327888.8543233083</v>
      </c>
      <c r="Q6" s="51">
        <f>Q30-Q88</f>
        <v>432888.8543233083</v>
      </c>
      <c r="R6" s="51">
        <f>R30-R88</f>
        <v>327888.8543233083</v>
      </c>
      <c r="S6" s="51">
        <f>S30-S88</f>
        <v>327888.8543233083</v>
      </c>
      <c r="T6" s="51">
        <f>T30-T88</f>
        <v>327888.8543233083</v>
      </c>
      <c r="U6" s="51">
        <f>U30-U88</f>
        <v>327888.8543233083</v>
      </c>
      <c r="V6" s="51">
        <f>V30-V88</f>
        <v>327888.8543233083</v>
      </c>
      <c r="W6" s="51">
        <f>W30-W88</f>
        <v>327888.8543233083</v>
      </c>
      <c r="X6" s="51">
        <f>X30-X88</f>
        <v>327888.8543233083</v>
      </c>
      <c r="Y6" s="51">
        <f>Y30-Y88</f>
        <v>327888.8543233083</v>
      </c>
      <c r="Z6" s="51">
        <f>SUMIF($B$13:$Y$13,"Yes",B6:Y6)</f>
        <v>3900809.772869675</v>
      </c>
      <c r="AA6" s="51">
        <f>AA30-AA88</f>
        <v>3572920.918546367</v>
      </c>
      <c r="AB6" s="51">
        <f>AB30-AB88</f>
        <v>7612587.170426063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30000</v>
      </c>
      <c r="C7" s="80">
        <f>IF(ISERROR(VLOOKUP(MONTH(C5),Inputs!$D$66:$D$71,1,0)),"",INDEX(Inputs!$B$66:$B$71,MATCH(MONTH(Output!C5),Inputs!$D$66:$D$71,0))-INDEX(Inputs!$C$66:$C$71,MATCH(MONTH(Output!C5),Inputs!$D$66:$D$71,0)))</f>
        <v>40000</v>
      </c>
      <c r="D7" s="80">
        <f>IF(ISERROR(VLOOKUP(MONTH(D5),Inputs!$D$66:$D$71,1,0)),"",INDEX(Inputs!$B$66:$B$71,MATCH(MONTH(Output!D5),Inputs!$D$66:$D$71,0))-INDEX(Inputs!$C$66:$C$71,MATCH(MONTH(Output!D5),Inputs!$D$66:$D$71,0)))</f>
        <v>45000</v>
      </c>
      <c r="E7" s="80">
        <f>IF(ISERROR(VLOOKUP(MONTH(E5),Inputs!$D$66:$D$71,1,0)),"",INDEX(Inputs!$B$66:$B$71,MATCH(MONTH(Output!E5),Inputs!$D$66:$D$71,0))-INDEX(Inputs!$C$66:$C$71,MATCH(MONTH(Output!E5),Inputs!$D$66:$D$71,0)))</f>
        <v>40000</v>
      </c>
      <c r="F7" s="80">
        <f>IF(ISERROR(VLOOKUP(MONTH(F5),Inputs!$D$66:$D$71,1,0)),"",INDEX(Inputs!$B$66:$B$71,MATCH(MONTH(Output!F5),Inputs!$D$66:$D$71,0))-INDEX(Inputs!$C$66:$C$71,MATCH(MONTH(Output!F5),Inputs!$D$66:$D$71,0)))</f>
        <v>60000</v>
      </c>
      <c r="G7" s="80">
        <f>IF(ISERROR(VLOOKUP(MONTH(G5),Inputs!$D$66:$D$71,1,0)),"",INDEX(Inputs!$B$66:$B$71,MATCH(MONTH(Output!G5),Inputs!$D$66:$D$71,0))-INDEX(Inputs!$C$66:$C$71,MATCH(MONTH(Output!G5),Inputs!$D$66:$D$71,0)))</f>
        <v>110000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30000</v>
      </c>
      <c r="O7" s="80">
        <f>IF(ISERROR(VLOOKUP(MONTH(O5),Inputs!$D$66:$D$71,1,0)),"",INDEX(Inputs!$B$66:$B$71,MATCH(MONTH(Output!O5),Inputs!$D$66:$D$71,0))-INDEX(Inputs!$C$66:$C$71,MATCH(MONTH(Output!O5),Inputs!$D$66:$D$71,0)))</f>
        <v>40000</v>
      </c>
      <c r="P7" s="80">
        <f>IF(ISERROR(VLOOKUP(MONTH(P5),Inputs!$D$66:$D$71,1,0)),"",INDEX(Inputs!$B$66:$B$71,MATCH(MONTH(Output!P5),Inputs!$D$66:$D$71,0))-INDEX(Inputs!$C$66:$C$71,MATCH(MONTH(Output!P5),Inputs!$D$66:$D$71,0)))</f>
        <v>45000</v>
      </c>
      <c r="Q7" s="80">
        <f>IF(ISERROR(VLOOKUP(MONTH(Q5),Inputs!$D$66:$D$71,1,0)),"",INDEX(Inputs!$B$66:$B$71,MATCH(MONTH(Output!Q5),Inputs!$D$66:$D$71,0))-INDEX(Inputs!$C$66:$C$71,MATCH(MONTH(Output!Q5),Inputs!$D$66:$D$71,0)))</f>
        <v>40000</v>
      </c>
      <c r="R7" s="80">
        <f>IF(ISERROR(VLOOKUP(MONTH(R5),Inputs!$D$66:$D$71,1,0)),"",INDEX(Inputs!$B$66:$B$71,MATCH(MONTH(Output!R5),Inputs!$D$66:$D$71,0))-INDEX(Inputs!$C$66:$C$71,MATCH(MONTH(Output!R5),Inputs!$D$66:$D$71,0)))</f>
        <v>60000</v>
      </c>
      <c r="S7" s="80">
        <f>IF(ISERROR(VLOOKUP(MONTH(S5),Inputs!$D$66:$D$71,1,0)),"",INDEX(Inputs!$B$66:$B$71,MATCH(MONTH(Output!S5),Inputs!$D$66:$D$71,0))-INDEX(Inputs!$C$66:$C$71,MATCH(MONTH(Output!S5),Inputs!$D$66:$D$71,0)))</f>
        <v>110000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19666.66666666667</v>
      </c>
      <c r="D10" s="37">
        <f>SUMPRODUCT((Calculations!$D$33:$D$84=Output!D5)+0,Calculations!$C$33:$C$84)</f>
        <v>19666.66666666667</v>
      </c>
      <c r="E10" s="37">
        <f>SUMPRODUCT((Calculations!$D$33:$D$84=Output!E5)+0,Calculations!$C$33:$C$84)</f>
        <v>19666.66666666667</v>
      </c>
      <c r="F10" s="37">
        <f>SUMPRODUCT((Calculations!$D$33:$D$84=Output!F5)+0,Calculations!$C$33:$C$84)</f>
        <v>19666.66666666667</v>
      </c>
      <c r="G10" s="37">
        <f>SUMPRODUCT((Calculations!$D$33:$D$84=Output!G5)+0,Calculations!$C$33:$C$84)</f>
        <v>19666.66666666667</v>
      </c>
      <c r="H10" s="37">
        <f>SUMPRODUCT((Calculations!$D$33:$D$84=Output!H5)+0,Calculations!$C$33:$C$84)</f>
        <v>19666.66666666667</v>
      </c>
      <c r="I10" s="37">
        <f>SUMPRODUCT((Calculations!$D$33:$D$84=Output!I5)+0,Calculations!$C$33:$C$84)</f>
        <v>19666.66666666667</v>
      </c>
      <c r="J10" s="37">
        <f>SUMPRODUCT((Calculations!$D$33:$D$84=Output!J5)+0,Calculations!$C$33:$C$84)</f>
        <v>19666.66666666667</v>
      </c>
      <c r="K10" s="37">
        <f>SUMPRODUCT((Calculations!$D$33:$D$84=Output!K5)+0,Calculations!$C$33:$C$84)</f>
        <v>19666.66666666667</v>
      </c>
      <c r="L10" s="37">
        <f>SUMPRODUCT((Calculations!$D$33:$D$84=Output!L5)+0,Calculations!$C$33:$C$84)</f>
        <v>19666.66666666667</v>
      </c>
      <c r="M10" s="37">
        <f>SUMPRODUCT((Calculations!$D$33:$D$84=Output!M5)+0,Calculations!$C$33:$C$84)</f>
        <v>19666.66666666667</v>
      </c>
      <c r="N10" s="37">
        <f>SUMPRODUCT((Calculations!$D$33:$D$84=Output!N5)+0,Calculations!$C$33:$C$84)</f>
        <v>19666.66666666667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236000</v>
      </c>
      <c r="AA10" s="37">
        <f>SUM(B10:M10)</f>
        <v>216333.3333333333</v>
      </c>
      <c r="AB10" s="37">
        <f>SUM(B10:Y10)</f>
        <v>236000</v>
      </c>
    </row>
    <row r="11" spans="1:30" customHeight="1" ht="15.75">
      <c r="A11" s="43" t="s">
        <v>31</v>
      </c>
      <c r="B11" s="80">
        <f>B6+B9-B10</f>
        <v>481200.6358847701</v>
      </c>
      <c r="C11" s="80">
        <f>C6+C9-C10</f>
        <v>261533.9692181034</v>
      </c>
      <c r="D11" s="80">
        <f>D6+D9-D10</f>
        <v>261533.9692181034</v>
      </c>
      <c r="E11" s="80">
        <f>E6+E9-E10</f>
        <v>261533.9692181034</v>
      </c>
      <c r="F11" s="80">
        <f>F6+F9-F10</f>
        <v>261533.9692181034</v>
      </c>
      <c r="G11" s="80">
        <f>G6+G9-G10</f>
        <v>261533.9692181034</v>
      </c>
      <c r="H11" s="80">
        <f>H6+H9-H10</f>
        <v>241167.2482878709</v>
      </c>
      <c r="I11" s="80">
        <f>I6+I9-I10</f>
        <v>293661.1043233083</v>
      </c>
      <c r="J11" s="80">
        <f>J6+J9-J10</f>
        <v>308222.1876566416</v>
      </c>
      <c r="K11" s="80">
        <f>K6+K9-K10</f>
        <v>308222.1876566416</v>
      </c>
      <c r="L11" s="80">
        <f>L6+L9-L10</f>
        <v>308222.1876566416</v>
      </c>
      <c r="M11" s="80">
        <f>M6+M9-M10</f>
        <v>308222.1876566416</v>
      </c>
      <c r="N11" s="80">
        <f>N6+N9-N10</f>
        <v>308222.1876566416</v>
      </c>
      <c r="O11" s="80">
        <f>O6+O9-O10</f>
        <v>327888.8543233083</v>
      </c>
      <c r="P11" s="80">
        <f>P6+P9-P10</f>
        <v>327888.8543233083</v>
      </c>
      <c r="Q11" s="80">
        <f>Q6+Q9-Q10</f>
        <v>432888.8543233083</v>
      </c>
      <c r="R11" s="80">
        <f>R6+R9-R10</f>
        <v>327888.8543233083</v>
      </c>
      <c r="S11" s="80">
        <f>S6+S9-S10</f>
        <v>327888.8543233083</v>
      </c>
      <c r="T11" s="80">
        <f>T6+T9-T10</f>
        <v>327888.8543233083</v>
      </c>
      <c r="U11" s="80">
        <f>U6+U9-U10</f>
        <v>327888.8543233083</v>
      </c>
      <c r="V11" s="80">
        <f>V6+V9-V10</f>
        <v>327888.8543233083</v>
      </c>
      <c r="W11" s="80">
        <f>W6+W9-W10</f>
        <v>327888.8543233083</v>
      </c>
      <c r="X11" s="80">
        <f>X6+X9-X10</f>
        <v>327888.8543233083</v>
      </c>
      <c r="Y11" s="80">
        <f>Y6+Y9-Y10</f>
        <v>327888.8543233083</v>
      </c>
      <c r="Z11" s="85">
        <f>SUMIF($B$13:$Y$13,"Yes",B11:Y11)</f>
        <v>3864809.772869674</v>
      </c>
      <c r="AA11" s="80">
        <f>SUM(B11:M11)</f>
        <v>3556587.585213032</v>
      </c>
      <c r="AB11" s="46">
        <f>SUM(B11:Y11)</f>
        <v>7576587.170426062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0.0257956897435653</v>
      </c>
      <c r="D12" s="82">
        <f>IF(D13="Yes",IF(SUM($B$10:D10)/(SUM($B$6:D6)+SUM($B$9:D9))&lt;0,999.99,SUM($B$10:D10)/(SUM($B$6:D6)+SUM($B$9:D9))),"")</f>
        <v>0.0376899783766612</v>
      </c>
      <c r="E12" s="82">
        <f>IF(E13="Yes",IF(SUM($B$10:E10)/(SUM($B$6:E6)+SUM($B$9:E9))&lt;0,999.99,SUM($B$10:E10)/(SUM($B$6:E6)+SUM($B$9:E9))),"")</f>
        <v>0.04453493865009292</v>
      </c>
      <c r="F12" s="82">
        <f>IF(F13="Yes",IF(SUM($B$10:F10)/(SUM($B$6:F6)+SUM($B$9:F9))&lt;0,999.99,SUM($B$10:F10)/(SUM($B$6:F6)+SUM($B$9:F9))),"")</f>
        <v>0.04898288351763297</v>
      </c>
      <c r="G12" s="82">
        <f>IF(G13="Yes",IF(SUM($B$10:G10)/(SUM($B$6:G6)+SUM($B$9:G9))&lt;0,999.99,SUM($B$10:G10)/(SUM($B$6:G6)+SUM($B$9:G9))),"")</f>
        <v>0.05210530655760282</v>
      </c>
      <c r="H12" s="82">
        <f>IF(H13="Yes",IF(SUM($B$10:H10)/(SUM($B$6:H6)+SUM($B$9:H9))&lt;0,999.99,SUM($B$10:H10)/(SUM($B$6:H6)+SUM($B$9:H9))),"")</f>
        <v>0.05493385816158067</v>
      </c>
      <c r="I12" s="82">
        <f>IF(I13="Yes",IF(SUM($B$10:I10)/(SUM($B$6:I6)+SUM($B$9:I9))&lt;0,999.99,SUM($B$10:I10)/(SUM($B$6:I6)+SUM($B$9:I9))),"")</f>
        <v>0.05593101333246837</v>
      </c>
      <c r="J12" s="82">
        <f>IF(J13="Yes",IF(SUM($B$10:J10)/(SUM($B$6:J6)+SUM($B$9:J9))&lt;0,999.99,SUM($B$10:J10)/(SUM($B$6:J6)+SUM($B$9:J9))),"")</f>
        <v>0.05640695084648099</v>
      </c>
      <c r="K12" s="82">
        <f>IF(K13="Yes",IF(SUM($B$10:K10)/(SUM($B$6:K6)+SUM($B$9:K9))&lt;0,999.99,SUM($B$10:K10)/(SUM($B$6:K6)+SUM($B$9:K9))),"")</f>
        <v>0.05678276167673812</v>
      </c>
      <c r="L12" s="82">
        <f>IF(L13="Yes",IF(SUM($B$10:L10)/(SUM($B$6:L6)+SUM($B$9:L9))&lt;0,999.99,SUM($B$10:L10)/(SUM($B$6:L6)+SUM($B$9:L9))),"")</f>
        <v>0.0570870351858452</v>
      </c>
      <c r="M12" s="82">
        <f>IF(M13="Yes",IF(SUM($B$10:M10)/(SUM($B$6:M6)+SUM($B$9:M9))&lt;0,999.99,SUM($B$10:M10)/(SUM($B$6:M6)+SUM($B$9:M9))),"")</f>
        <v>0.05733842240634143</v>
      </c>
      <c r="N12" s="82">
        <f>IF(N13="Yes",IF(SUM($B$10:N10)/(SUM($B$6:N6)+SUM($B$9:N9))&lt;0,999.99,SUM($B$10:N10)/(SUM($B$6:N6)+SUM($B$9:N9))),"")</f>
        <v>0.05754960924092103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146330.8270676692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364999.9999999999</v>
      </c>
      <c r="C24" s="36">
        <f>IFERROR(Calculations!$P14/12,"")</f>
        <v>364999.9999999999</v>
      </c>
      <c r="D24" s="36">
        <f>IFERROR(Calculations!$P14/12,"")</f>
        <v>364999.9999999999</v>
      </c>
      <c r="E24" s="36">
        <f>IFERROR(Calculations!$P14/12,"")</f>
        <v>364999.9999999999</v>
      </c>
      <c r="F24" s="36">
        <f>IFERROR(Calculations!$P14/12,"")</f>
        <v>364999.9999999999</v>
      </c>
      <c r="G24" s="36">
        <f>IFERROR(Calculations!$P14/12,"")</f>
        <v>364999.9999999999</v>
      </c>
      <c r="H24" s="36">
        <f>IFERROR(Calculations!$P14/12,"")</f>
        <v>364999.9999999999</v>
      </c>
      <c r="I24" s="36">
        <f>IFERROR(Calculations!$P14/12,"")</f>
        <v>364999.9999999999</v>
      </c>
      <c r="J24" s="36">
        <f>IFERROR(Calculations!$P14/12,"")</f>
        <v>364999.9999999999</v>
      </c>
      <c r="K24" s="36">
        <f>IFERROR(Calculations!$P14/12,"")</f>
        <v>364999.9999999999</v>
      </c>
      <c r="L24" s="36">
        <f>IFERROR(Calculations!$P14/12,"")</f>
        <v>364999.9999999999</v>
      </c>
      <c r="M24" s="36">
        <f>IFERROR(Calculations!$P14/12,"")</f>
        <v>364999.9999999999</v>
      </c>
      <c r="N24" s="36">
        <f>IFERROR(Calculations!$P14/12,"")</f>
        <v>364999.9999999999</v>
      </c>
      <c r="O24" s="36">
        <f>IFERROR(Calculations!$P14/12,"")</f>
        <v>364999.9999999999</v>
      </c>
      <c r="P24" s="36">
        <f>IFERROR(Calculations!$P14/12,"")</f>
        <v>364999.9999999999</v>
      </c>
      <c r="Q24" s="36">
        <f>IFERROR(Calculations!$P14/12,"")</f>
        <v>364999.9999999999</v>
      </c>
      <c r="R24" s="36">
        <f>IFERROR(Calculations!$P14/12,"")</f>
        <v>364999.9999999999</v>
      </c>
      <c r="S24" s="36">
        <f>IFERROR(Calculations!$P14/12,"")</f>
        <v>364999.9999999999</v>
      </c>
      <c r="T24" s="36">
        <f>IFERROR(Calculations!$P14/12,"")</f>
        <v>364999.9999999999</v>
      </c>
      <c r="U24" s="36">
        <f>IFERROR(Calculations!$P14/12,"")</f>
        <v>364999.9999999999</v>
      </c>
      <c r="V24" s="36">
        <f>IFERROR(Calculations!$P14/12,"")</f>
        <v>364999.9999999999</v>
      </c>
      <c r="W24" s="36">
        <f>IFERROR(Calculations!$P14/12,"")</f>
        <v>364999.9999999999</v>
      </c>
      <c r="X24" s="36">
        <f>IFERROR(Calculations!$P14/12,"")</f>
        <v>364999.9999999999</v>
      </c>
      <c r="Y24" s="36">
        <f>IFERROR(Calculations!$P14/12,"")</f>
        <v>364999.9999999999</v>
      </c>
      <c r="Z24" s="36">
        <f>SUMIF($B$13:$Y$13,"Yes",B24:Y24)</f>
        <v>4744999.999999999</v>
      </c>
      <c r="AA24" s="36">
        <f>SUM(B24:M24)</f>
        <v>4379999.999999999</v>
      </c>
      <c r="AB24" s="46">
        <f>SUM(B24:Y24)</f>
        <v>8759999.999999998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21671.875</v>
      </c>
      <c r="C25" s="36">
        <f>IFERROR(Calculations!$P15/12,"")</f>
        <v>21671.875</v>
      </c>
      <c r="D25" s="36">
        <f>IFERROR(Calculations!$P15/12,"")</f>
        <v>21671.875</v>
      </c>
      <c r="E25" s="36">
        <f>IFERROR(Calculations!$P15/12,"")</f>
        <v>21671.875</v>
      </c>
      <c r="F25" s="36">
        <f>IFERROR(Calculations!$P15/12,"")</f>
        <v>21671.875</v>
      </c>
      <c r="G25" s="36">
        <f>IFERROR(Calculations!$P15/12,"")</f>
        <v>21671.875</v>
      </c>
      <c r="H25" s="36">
        <f>IFERROR(Calculations!$P15/12,"")</f>
        <v>21671.875</v>
      </c>
      <c r="I25" s="36">
        <f>IFERROR(Calculations!$P15/12,"")</f>
        <v>21671.875</v>
      </c>
      <c r="J25" s="36">
        <f>IFERROR(Calculations!$P15/12,"")</f>
        <v>21671.875</v>
      </c>
      <c r="K25" s="36">
        <f>IFERROR(Calculations!$P15/12,"")</f>
        <v>21671.875</v>
      </c>
      <c r="L25" s="36">
        <f>IFERROR(Calculations!$P15/12,"")</f>
        <v>21671.875</v>
      </c>
      <c r="M25" s="36">
        <f>IFERROR(Calculations!$P15/12,"")</f>
        <v>21671.875</v>
      </c>
      <c r="N25" s="36">
        <f>IFERROR(Calculations!$P15/12,"")</f>
        <v>21671.875</v>
      </c>
      <c r="O25" s="36">
        <f>IFERROR(Calculations!$P15/12,"")</f>
        <v>21671.875</v>
      </c>
      <c r="P25" s="36">
        <f>IFERROR(Calculations!$P15/12,"")</f>
        <v>21671.875</v>
      </c>
      <c r="Q25" s="36">
        <f>IFERROR(Calculations!$P15/12,"")</f>
        <v>21671.875</v>
      </c>
      <c r="R25" s="36">
        <f>IFERROR(Calculations!$P15/12,"")</f>
        <v>21671.875</v>
      </c>
      <c r="S25" s="36">
        <f>IFERROR(Calculations!$P15/12,"")</f>
        <v>21671.875</v>
      </c>
      <c r="T25" s="36">
        <f>IFERROR(Calculations!$P15/12,"")</f>
        <v>21671.875</v>
      </c>
      <c r="U25" s="36">
        <f>IFERROR(Calculations!$P15/12,"")</f>
        <v>21671.875</v>
      </c>
      <c r="V25" s="36">
        <f>IFERROR(Calculations!$P15/12,"")</f>
        <v>21671.875</v>
      </c>
      <c r="W25" s="36">
        <f>IFERROR(Calculations!$P15/12,"")</f>
        <v>21671.875</v>
      </c>
      <c r="X25" s="36">
        <f>IFERROR(Calculations!$P15/12,"")</f>
        <v>21671.875</v>
      </c>
      <c r="Y25" s="36">
        <f>IFERROR(Calculations!$P15/12,"")</f>
        <v>21671.875</v>
      </c>
      <c r="Z25" s="36">
        <f>SUMIF($B$13:$Y$13,"Yes",B25:Y25)</f>
        <v>281734.375</v>
      </c>
      <c r="AA25" s="36">
        <f>SUM(B25:M25)</f>
        <v>260062.5</v>
      </c>
      <c r="AB25" s="46">
        <f>SUM(B25:Y25)</f>
        <v>520125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165000</v>
      </c>
      <c r="C26" s="36">
        <f>IFERROR(Calculations!$P16/12,"")</f>
        <v>165000</v>
      </c>
      <c r="D26" s="36">
        <f>IFERROR(Calculations!$P16/12,"")</f>
        <v>165000</v>
      </c>
      <c r="E26" s="36">
        <f>IFERROR(Calculations!$P16/12,"")</f>
        <v>165000</v>
      </c>
      <c r="F26" s="36">
        <f>IFERROR(Calculations!$P16/12,"")</f>
        <v>165000</v>
      </c>
      <c r="G26" s="36">
        <f>IFERROR(Calculations!$P16/12,"")</f>
        <v>165000</v>
      </c>
      <c r="H26" s="36">
        <f>IFERROR(Calculations!$P16/12,"")</f>
        <v>165000</v>
      </c>
      <c r="I26" s="36">
        <f>IFERROR(Calculations!$P16/12,"")</f>
        <v>165000</v>
      </c>
      <c r="J26" s="36">
        <f>IFERROR(Calculations!$P16/12,"")</f>
        <v>165000</v>
      </c>
      <c r="K26" s="36">
        <f>IFERROR(Calculations!$P16/12,"")</f>
        <v>165000</v>
      </c>
      <c r="L26" s="36">
        <f>IFERROR(Calculations!$P16/12,"")</f>
        <v>165000</v>
      </c>
      <c r="M26" s="36">
        <f>IFERROR(Calculations!$P16/12,"")</f>
        <v>165000</v>
      </c>
      <c r="N26" s="36">
        <f>IFERROR(Calculations!$P16/12,"")</f>
        <v>165000</v>
      </c>
      <c r="O26" s="36">
        <f>IFERROR(Calculations!$P16/12,"")</f>
        <v>165000</v>
      </c>
      <c r="P26" s="36">
        <f>IFERROR(Calculations!$P16/12,"")</f>
        <v>165000</v>
      </c>
      <c r="Q26" s="36">
        <f>IFERROR(Calculations!$P16/12,"")</f>
        <v>165000</v>
      </c>
      <c r="R26" s="36">
        <f>IFERROR(Calculations!$P16/12,"")</f>
        <v>165000</v>
      </c>
      <c r="S26" s="36">
        <f>IFERROR(Calculations!$P16/12,"")</f>
        <v>165000</v>
      </c>
      <c r="T26" s="36">
        <f>IFERROR(Calculations!$P16/12,"")</f>
        <v>165000</v>
      </c>
      <c r="U26" s="36">
        <f>IFERROR(Calculations!$P16/12,"")</f>
        <v>165000</v>
      </c>
      <c r="V26" s="36">
        <f>IFERROR(Calculations!$P16/12,"")</f>
        <v>165000</v>
      </c>
      <c r="W26" s="36">
        <f>IFERROR(Calculations!$P16/12,"")</f>
        <v>165000</v>
      </c>
      <c r="X26" s="36">
        <f>IFERROR(Calculations!$P16/12,"")</f>
        <v>165000</v>
      </c>
      <c r="Y26" s="36">
        <f>IFERROR(Calculations!$P16/12,"")</f>
        <v>165000</v>
      </c>
      <c r="Z26" s="36">
        <f>SUMIF($B$13:$Y$13,"Yes",B26:Y26)</f>
        <v>2145000</v>
      </c>
      <c r="AA26" s="36">
        <f>SUM(B26:M26)</f>
        <v>1980000</v>
      </c>
      <c r="AB26" s="46">
        <f>SUM(B26:Y26)</f>
        <v>3960000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105000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105000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55000</v>
      </c>
      <c r="C29" s="37">
        <f>Inputs!$B$30</f>
        <v>55000</v>
      </c>
      <c r="D29" s="37">
        <f>Inputs!$B$30</f>
        <v>55000</v>
      </c>
      <c r="E29" s="37">
        <f>Inputs!$B$30</f>
        <v>55000</v>
      </c>
      <c r="F29" s="37">
        <f>Inputs!$B$30</f>
        <v>55000</v>
      </c>
      <c r="G29" s="37">
        <f>Inputs!$B$30</f>
        <v>55000</v>
      </c>
      <c r="H29" s="37">
        <f>Inputs!$B$30</f>
        <v>55000</v>
      </c>
      <c r="I29" s="37">
        <f>Inputs!$B$30</f>
        <v>55000</v>
      </c>
      <c r="J29" s="37">
        <f>Inputs!$B$30</f>
        <v>55000</v>
      </c>
      <c r="K29" s="37">
        <f>Inputs!$B$30</f>
        <v>55000</v>
      </c>
      <c r="L29" s="37">
        <f>Inputs!$B$30</f>
        <v>55000</v>
      </c>
      <c r="M29" s="37">
        <f>Inputs!$B$30</f>
        <v>55000</v>
      </c>
      <c r="N29" s="37">
        <f>Inputs!$B$30</f>
        <v>55000</v>
      </c>
      <c r="O29" s="37">
        <f>Inputs!$B$30</f>
        <v>55000</v>
      </c>
      <c r="P29" s="37">
        <f>Inputs!$B$30</f>
        <v>55000</v>
      </c>
      <c r="Q29" s="37">
        <f>Inputs!$B$30</f>
        <v>55000</v>
      </c>
      <c r="R29" s="37">
        <f>Inputs!$B$30</f>
        <v>55000</v>
      </c>
      <c r="S29" s="37">
        <f>Inputs!$B$30</f>
        <v>55000</v>
      </c>
      <c r="T29" s="37">
        <f>Inputs!$B$30</f>
        <v>55000</v>
      </c>
      <c r="U29" s="37">
        <f>Inputs!$B$30</f>
        <v>55000</v>
      </c>
      <c r="V29" s="37">
        <f>Inputs!$B$30</f>
        <v>55000</v>
      </c>
      <c r="W29" s="37">
        <f>Inputs!$B$30</f>
        <v>55000</v>
      </c>
      <c r="X29" s="37">
        <f>Inputs!$B$30</f>
        <v>55000</v>
      </c>
      <c r="Y29" s="37">
        <f>Inputs!$B$30</f>
        <v>55000</v>
      </c>
      <c r="Z29" s="37">
        <f>SUMIF($B$13:$Y$13,"Yes",B29:Y29)</f>
        <v>715000</v>
      </c>
      <c r="AA29" s="37">
        <f>SUM(B29:M29)</f>
        <v>660000</v>
      </c>
      <c r="AB29" s="37">
        <f>SUM(B29:Y29)</f>
        <v>1320000</v>
      </c>
    </row>
    <row r="30" spans="1:30" customHeight="1" ht="15.75">
      <c r="A30" s="1" t="s">
        <v>37</v>
      </c>
      <c r="B30" s="19">
        <f>SUM(B18:B29)</f>
        <v>606671.875</v>
      </c>
      <c r="C30" s="19">
        <f>SUM(C18:C29)</f>
        <v>606671.875</v>
      </c>
      <c r="D30" s="19">
        <f>SUM(D18:D29)</f>
        <v>606671.875</v>
      </c>
      <c r="E30" s="19">
        <f>SUM(E18:E29)</f>
        <v>606671.875</v>
      </c>
      <c r="F30" s="19">
        <f>SUM(F18:F29)</f>
        <v>606671.875</v>
      </c>
      <c r="G30" s="19">
        <f>SUM(G18:G29)</f>
        <v>606671.875</v>
      </c>
      <c r="H30" s="19">
        <f>SUM(H18:H29)</f>
        <v>606671.875</v>
      </c>
      <c r="I30" s="19">
        <f>SUM(I18:I29)</f>
        <v>606671.875</v>
      </c>
      <c r="J30" s="19">
        <f>SUM(J18:J29)</f>
        <v>606671.875</v>
      </c>
      <c r="K30" s="19">
        <f>SUM(K18:K29)</f>
        <v>606671.875</v>
      </c>
      <c r="L30" s="19">
        <f>SUM(L18:L29)</f>
        <v>606671.875</v>
      </c>
      <c r="M30" s="19">
        <f>SUM(M18:M29)</f>
        <v>606671.875</v>
      </c>
      <c r="N30" s="19">
        <f>SUM(N18:N29)</f>
        <v>606671.875</v>
      </c>
      <c r="O30" s="19">
        <f>SUM(O18:O29)</f>
        <v>606671.875</v>
      </c>
      <c r="P30" s="19">
        <f>SUM(P18:P29)</f>
        <v>606671.875</v>
      </c>
      <c r="Q30" s="19">
        <f>SUM(Q18:Q29)</f>
        <v>711671.875</v>
      </c>
      <c r="R30" s="19">
        <f>SUM(R18:R29)</f>
        <v>606671.875</v>
      </c>
      <c r="S30" s="19">
        <f>SUM(S18:S29)</f>
        <v>606671.875</v>
      </c>
      <c r="T30" s="19">
        <f>SUM(T18:T29)</f>
        <v>606671.875</v>
      </c>
      <c r="U30" s="19">
        <f>SUM(U18:U29)</f>
        <v>606671.875</v>
      </c>
      <c r="V30" s="19">
        <f>SUM(V18:V29)</f>
        <v>606671.875</v>
      </c>
      <c r="W30" s="19">
        <f>SUM(W18:W29)</f>
        <v>606671.875</v>
      </c>
      <c r="X30" s="19">
        <f>SUM(X18:X29)</f>
        <v>606671.875</v>
      </c>
      <c r="Y30" s="19">
        <f>SUM(Y18:Y29)</f>
        <v>606671.875</v>
      </c>
      <c r="Z30" s="19">
        <f>SUMIF($B$13:$Y$13,"Yes",B30:Y30)</f>
        <v>7886734.375</v>
      </c>
      <c r="AA30" s="19">
        <f>SUM(B30:M30)</f>
        <v>7280062.5</v>
      </c>
      <c r="AB30" s="19">
        <f>SUM(B30:Y30)</f>
        <v>14665125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36500</v>
      </c>
      <c r="C74" s="46">
        <f>SUM(Calculations!$Q$14:$Q$16)/12</f>
        <v>36500</v>
      </c>
      <c r="D74" s="46">
        <f>SUM(Calculations!$Q$14:$Q$16)/12</f>
        <v>36500</v>
      </c>
      <c r="E74" s="46">
        <f>SUM(Calculations!$Q$14:$Q$16)/12</f>
        <v>36500</v>
      </c>
      <c r="F74" s="46">
        <f>SUM(Calculations!$Q$14:$Q$16)/12</f>
        <v>36500</v>
      </c>
      <c r="G74" s="46">
        <f>SUM(Calculations!$Q$14:$Q$16)/12</f>
        <v>36500</v>
      </c>
      <c r="H74" s="46">
        <f>SUM(Calculations!$Q$14:$Q$16)/12</f>
        <v>36500</v>
      </c>
      <c r="I74" s="46">
        <f>SUM(Calculations!$Q$14:$Q$16)/12</f>
        <v>36500</v>
      </c>
      <c r="J74" s="46">
        <f>SUM(Calculations!$Q$14:$Q$16)/12</f>
        <v>36500</v>
      </c>
      <c r="K74" s="46">
        <f>SUM(Calculations!$Q$14:$Q$16)/12</f>
        <v>36500</v>
      </c>
      <c r="L74" s="46">
        <f>SUM(Calculations!$Q$14:$Q$16)/12</f>
        <v>36500</v>
      </c>
      <c r="M74" s="46">
        <f>SUM(Calculations!$Q$14:$Q$16)/12</f>
        <v>36500</v>
      </c>
      <c r="N74" s="46">
        <f>SUM(Calculations!$Q$14:$Q$16)/12</f>
        <v>36500</v>
      </c>
      <c r="O74" s="46">
        <f>SUM(Calculations!$Q$14:$Q$16)/12</f>
        <v>36500</v>
      </c>
      <c r="P74" s="46">
        <f>SUM(Calculations!$Q$14:$Q$16)/12</f>
        <v>36500</v>
      </c>
      <c r="Q74" s="46">
        <f>SUM(Calculations!$Q$14:$Q$16)/12</f>
        <v>36500</v>
      </c>
      <c r="R74" s="46">
        <f>SUM(Calculations!$Q$14:$Q$16)/12</f>
        <v>36500</v>
      </c>
      <c r="S74" s="46">
        <f>SUM(Calculations!$Q$14:$Q$16)/12</f>
        <v>36500</v>
      </c>
      <c r="T74" s="46">
        <f>SUM(Calculations!$Q$14:$Q$16)/12</f>
        <v>36500</v>
      </c>
      <c r="U74" s="46">
        <f>SUM(Calculations!$Q$14:$Q$16)/12</f>
        <v>36500</v>
      </c>
      <c r="V74" s="46">
        <f>SUM(Calculations!$Q$14:$Q$16)/12</f>
        <v>36500</v>
      </c>
      <c r="W74" s="46">
        <f>SUM(Calculations!$Q$14:$Q$16)/12</f>
        <v>36500</v>
      </c>
      <c r="X74" s="46">
        <f>SUM(Calculations!$Q$14:$Q$16)/12</f>
        <v>36500</v>
      </c>
      <c r="Y74" s="46">
        <f>SUM(Calculations!$Q$14:$Q$16)/12</f>
        <v>36500</v>
      </c>
      <c r="Z74" s="46">
        <f>SUMIF($B$13:$Y$13,"Yes",B74:Y74)</f>
        <v>474500</v>
      </c>
      <c r="AA74" s="46">
        <f>SUM(B74:M74)</f>
        <v>438000</v>
      </c>
      <c r="AB74" s="46">
        <f>SUM(B74:Y74)</f>
        <v>876000</v>
      </c>
    </row>
    <row r="75" spans="1:30">
      <c r="A75" s="16" t="s">
        <v>47</v>
      </c>
      <c r="B75" s="46">
        <f>SUM(Calculations!$R$14:$R$16)/12</f>
        <v>2593.333333333333</v>
      </c>
      <c r="C75" s="46">
        <f>SUM(Calculations!$R$14:$R$16)/12</f>
        <v>2593.333333333333</v>
      </c>
      <c r="D75" s="46">
        <f>SUM(Calculations!$R$14:$R$16)/12</f>
        <v>2593.333333333333</v>
      </c>
      <c r="E75" s="46">
        <f>SUM(Calculations!$R$14:$R$16)/12</f>
        <v>2593.333333333333</v>
      </c>
      <c r="F75" s="46">
        <f>SUM(Calculations!$R$14:$R$16)/12</f>
        <v>2593.333333333333</v>
      </c>
      <c r="G75" s="46">
        <f>SUM(Calculations!$R$14:$R$16)/12</f>
        <v>2593.333333333333</v>
      </c>
      <c r="H75" s="46">
        <f>SUM(Calculations!$R$14:$R$16)/12</f>
        <v>2593.333333333333</v>
      </c>
      <c r="I75" s="46">
        <f>SUM(Calculations!$R$14:$R$16)/12</f>
        <v>2593.333333333333</v>
      </c>
      <c r="J75" s="46">
        <f>SUM(Calculations!$R$14:$R$16)/12</f>
        <v>2593.333333333333</v>
      </c>
      <c r="K75" s="46">
        <f>SUM(Calculations!$R$14:$R$16)/12</f>
        <v>2593.333333333333</v>
      </c>
      <c r="L75" s="46">
        <f>SUM(Calculations!$R$14:$R$16)/12</f>
        <v>2593.333333333333</v>
      </c>
      <c r="M75" s="46">
        <f>SUM(Calculations!$R$14:$R$16)/12</f>
        <v>2593.333333333333</v>
      </c>
      <c r="N75" s="46">
        <f>SUM(Calculations!$R$14:$R$16)/12</f>
        <v>2593.333333333333</v>
      </c>
      <c r="O75" s="46">
        <f>SUM(Calculations!$R$14:$R$16)/12</f>
        <v>2593.333333333333</v>
      </c>
      <c r="P75" s="46">
        <f>SUM(Calculations!$R$14:$R$16)/12</f>
        <v>2593.333333333333</v>
      </c>
      <c r="Q75" s="46">
        <f>SUM(Calculations!$R$14:$R$16)/12</f>
        <v>2593.333333333333</v>
      </c>
      <c r="R75" s="46">
        <f>SUM(Calculations!$R$14:$R$16)/12</f>
        <v>2593.333333333333</v>
      </c>
      <c r="S75" s="46">
        <f>SUM(Calculations!$R$14:$R$16)/12</f>
        <v>2593.333333333333</v>
      </c>
      <c r="T75" s="46">
        <f>SUM(Calculations!$R$14:$R$16)/12</f>
        <v>2593.333333333333</v>
      </c>
      <c r="U75" s="46">
        <f>SUM(Calculations!$R$14:$R$16)/12</f>
        <v>2593.333333333333</v>
      </c>
      <c r="V75" s="46">
        <f>SUM(Calculations!$R$14:$R$16)/12</f>
        <v>2593.333333333333</v>
      </c>
      <c r="W75" s="46">
        <f>SUM(Calculations!$R$14:$R$16)/12</f>
        <v>2593.333333333333</v>
      </c>
      <c r="X75" s="46">
        <f>SUM(Calculations!$R$14:$R$16)/12</f>
        <v>2593.333333333333</v>
      </c>
      <c r="Y75" s="46">
        <f>SUM(Calculations!$R$14:$R$16)/12</f>
        <v>2593.333333333333</v>
      </c>
      <c r="Z75" s="46">
        <f>SUMIF($B$13:$Y$13,"Yes",B75:Y75)</f>
        <v>33713.33333333333</v>
      </c>
      <c r="AA75" s="46">
        <f>SUM(B75:M75)</f>
        <v>31120</v>
      </c>
      <c r="AB75" s="46">
        <f>SUM(B75:Y75)</f>
        <v>62240.00000000002</v>
      </c>
    </row>
    <row r="76" spans="1:30">
      <c r="A76" s="16" t="s">
        <v>48</v>
      </c>
      <c r="B76" s="46">
        <f>SUM(Calculations!$S$14:$S$16)/12</f>
        <v>6097.117794486215</v>
      </c>
      <c r="C76" s="46">
        <f>SUM(Calculations!$S$14:$S$16)/12</f>
        <v>6097.117794486215</v>
      </c>
      <c r="D76" s="46">
        <f>SUM(Calculations!$S$14:$S$16)/12</f>
        <v>6097.117794486215</v>
      </c>
      <c r="E76" s="46">
        <f>SUM(Calculations!$S$14:$S$16)/12</f>
        <v>6097.117794486215</v>
      </c>
      <c r="F76" s="46">
        <f>SUM(Calculations!$S$14:$S$16)/12</f>
        <v>6097.117794486215</v>
      </c>
      <c r="G76" s="46">
        <f>SUM(Calculations!$S$14:$S$16)/12</f>
        <v>6097.117794486215</v>
      </c>
      <c r="H76" s="46">
        <f>SUM(Calculations!$S$14:$S$16)/12</f>
        <v>6097.117794486215</v>
      </c>
      <c r="I76" s="46">
        <f>SUM(Calculations!$S$14:$S$16)/12</f>
        <v>6097.117794486215</v>
      </c>
      <c r="J76" s="46">
        <f>SUM(Calculations!$S$14:$S$16)/12</f>
        <v>6097.117794486215</v>
      </c>
      <c r="K76" s="46">
        <f>SUM(Calculations!$S$14:$S$16)/12</f>
        <v>6097.117794486215</v>
      </c>
      <c r="L76" s="46">
        <f>SUM(Calculations!$S$14:$S$16)/12</f>
        <v>6097.117794486215</v>
      </c>
      <c r="M76" s="46">
        <f>SUM(Calculations!$S$14:$S$16)/12</f>
        <v>6097.117794486215</v>
      </c>
      <c r="N76" s="46">
        <f>SUM(Calculations!$S$14:$S$16)/12</f>
        <v>6097.117794486215</v>
      </c>
      <c r="O76" s="46">
        <f>SUM(Calculations!$S$14:$S$16)/12</f>
        <v>6097.117794486215</v>
      </c>
      <c r="P76" s="46">
        <f>SUM(Calculations!$S$14:$S$16)/12</f>
        <v>6097.117794486215</v>
      </c>
      <c r="Q76" s="46">
        <f>SUM(Calculations!$S$14:$S$16)/12</f>
        <v>6097.117794486215</v>
      </c>
      <c r="R76" s="46">
        <f>SUM(Calculations!$S$14:$S$16)/12</f>
        <v>6097.117794486215</v>
      </c>
      <c r="S76" s="46">
        <f>SUM(Calculations!$S$14:$S$16)/12</f>
        <v>6097.117794486215</v>
      </c>
      <c r="T76" s="46">
        <f>SUM(Calculations!$S$14:$S$16)/12</f>
        <v>6097.117794486215</v>
      </c>
      <c r="U76" s="46">
        <f>SUM(Calculations!$S$14:$S$16)/12</f>
        <v>6097.117794486215</v>
      </c>
      <c r="V76" s="46">
        <f>SUM(Calculations!$S$14:$S$16)/12</f>
        <v>6097.117794486215</v>
      </c>
      <c r="W76" s="46">
        <f>SUM(Calculations!$S$14:$S$16)/12</f>
        <v>6097.117794486215</v>
      </c>
      <c r="X76" s="46">
        <f>SUM(Calculations!$S$14:$S$16)/12</f>
        <v>6097.117794486215</v>
      </c>
      <c r="Y76" s="46">
        <f>SUM(Calculations!$S$14:$S$16)/12</f>
        <v>6097.117794486215</v>
      </c>
      <c r="Z76" s="46">
        <f>SUMIF($B$13:$Y$13,"Yes",B76:Y76)</f>
        <v>79262.53132832079</v>
      </c>
      <c r="AA76" s="46">
        <f>SUM(B76:M76)</f>
        <v>73165.41353383458</v>
      </c>
      <c r="AB76" s="46">
        <f>SUM(B76:Y76)</f>
        <v>146330.8270676692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195000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218592.5695488722</v>
      </c>
      <c r="C81" s="46">
        <f>(SUM($AA$18:$AA$29)-SUM($AA$36,$AA$42,$AA$48,$AA$54,$AA$60,$AA$66,$AA$72:$AA$79))*Parameters!$B$37/12</f>
        <v>218592.5695488722</v>
      </c>
      <c r="D81" s="46">
        <f>(SUM($AA$18:$AA$29)-SUM($AA$36,$AA$42,$AA$48,$AA$54,$AA$60,$AA$66,$AA$72:$AA$79))*Parameters!$B$37/12</f>
        <v>218592.5695488722</v>
      </c>
      <c r="E81" s="46">
        <f>(SUM($AA$18:$AA$29)-SUM($AA$36,$AA$42,$AA$48,$AA$54,$AA$60,$AA$66,$AA$72:$AA$79))*Parameters!$B$37/12</f>
        <v>218592.5695488722</v>
      </c>
      <c r="F81" s="46">
        <f>(SUM($AA$18:$AA$29)-SUM($AA$36,$AA$42,$AA$48,$AA$54,$AA$60,$AA$66,$AA$72:$AA$79))*Parameters!$B$37/12</f>
        <v>218592.5695488722</v>
      </c>
      <c r="G81" s="46">
        <f>(SUM($AA$18:$AA$29)-SUM($AA$36,$AA$42,$AA$48,$AA$54,$AA$60,$AA$66,$AA$72:$AA$79))*Parameters!$B$37/12</f>
        <v>218592.5695488722</v>
      </c>
      <c r="H81" s="46">
        <f>(SUM($AA$18:$AA$29)-SUM($AA$36,$AA$42,$AA$48,$AA$54,$AA$60,$AA$66,$AA$72:$AA$79))*Parameters!$B$37/12</f>
        <v>218592.5695488722</v>
      </c>
      <c r="I81" s="46">
        <f>(SUM($AA$18:$AA$29)-SUM($AA$36,$AA$42,$AA$48,$AA$54,$AA$60,$AA$66,$AA$72:$AA$79))*Parameters!$B$37/12</f>
        <v>218592.5695488722</v>
      </c>
      <c r="J81" s="46">
        <f>(SUM($AA$18:$AA$29)-SUM($AA$36,$AA$42,$AA$48,$AA$54,$AA$60,$AA$66,$AA$72:$AA$79))*Parameters!$B$37/12</f>
        <v>218592.5695488722</v>
      </c>
      <c r="K81" s="46">
        <f>(SUM($AA$18:$AA$29)-SUM($AA$36,$AA$42,$AA$48,$AA$54,$AA$60,$AA$66,$AA$72:$AA$79))*Parameters!$B$37/12</f>
        <v>218592.5695488722</v>
      </c>
      <c r="L81" s="46">
        <f>(SUM($AA$18:$AA$29)-SUM($AA$36,$AA$42,$AA$48,$AA$54,$AA$60,$AA$66,$AA$72:$AA$79))*Parameters!$B$37/12</f>
        <v>218592.5695488722</v>
      </c>
      <c r="M81" s="46">
        <f>(SUM($AA$18:$AA$29)-SUM($AA$36,$AA$42,$AA$48,$AA$54,$AA$60,$AA$66,$AA$72:$AA$79))*Parameters!$B$37/12</f>
        <v>218592.5695488722</v>
      </c>
      <c r="N81" s="46">
        <f>(SUM($AA$18:$AA$29)-SUM($AA$36,$AA$42,$AA$48,$AA$54,$AA$60,$AA$66,$AA$72:$AA$79))*Parameters!$B$37/12</f>
        <v>218592.5695488722</v>
      </c>
      <c r="O81" s="46">
        <f>(SUM($AA$18:$AA$29)-SUM($AA$36,$AA$42,$AA$48,$AA$54,$AA$60,$AA$66,$AA$72:$AA$79))*Parameters!$B$37/12</f>
        <v>218592.5695488722</v>
      </c>
      <c r="P81" s="46">
        <f>(SUM($AA$18:$AA$29)-SUM($AA$36,$AA$42,$AA$48,$AA$54,$AA$60,$AA$66,$AA$72:$AA$79))*Parameters!$B$37/12</f>
        <v>218592.5695488722</v>
      </c>
      <c r="Q81" s="46">
        <f>(SUM($AA$18:$AA$29)-SUM($AA$36,$AA$42,$AA$48,$AA$54,$AA$60,$AA$66,$AA$72:$AA$79))*Parameters!$B$37/12</f>
        <v>218592.5695488722</v>
      </c>
      <c r="R81" s="46">
        <f>(SUM($AA$18:$AA$29)-SUM($AA$36,$AA$42,$AA$48,$AA$54,$AA$60,$AA$66,$AA$72:$AA$79))*Parameters!$B$37/12</f>
        <v>218592.5695488722</v>
      </c>
      <c r="S81" s="46">
        <f>(SUM($AA$18:$AA$29)-SUM($AA$36,$AA$42,$AA$48,$AA$54,$AA$60,$AA$66,$AA$72:$AA$79))*Parameters!$B$37/12</f>
        <v>218592.5695488722</v>
      </c>
      <c r="T81" s="46">
        <f>(SUM($AA$18:$AA$29)-SUM($AA$36,$AA$42,$AA$48,$AA$54,$AA$60,$AA$66,$AA$72:$AA$79))*Parameters!$B$37/12</f>
        <v>218592.5695488722</v>
      </c>
      <c r="U81" s="46">
        <f>(SUM($AA$18:$AA$29)-SUM($AA$36,$AA$42,$AA$48,$AA$54,$AA$60,$AA$66,$AA$72:$AA$79))*Parameters!$B$37/12</f>
        <v>218592.5695488722</v>
      </c>
      <c r="V81" s="46">
        <f>(SUM($AA$18:$AA$29)-SUM($AA$36,$AA$42,$AA$48,$AA$54,$AA$60,$AA$66,$AA$72:$AA$79))*Parameters!$B$37/12</f>
        <v>218592.5695488722</v>
      </c>
      <c r="W81" s="46">
        <f>(SUM($AA$18:$AA$29)-SUM($AA$36,$AA$42,$AA$48,$AA$54,$AA$60,$AA$66,$AA$72:$AA$79))*Parameters!$B$37/12</f>
        <v>218592.5695488722</v>
      </c>
      <c r="X81" s="46">
        <f>(SUM($AA$18:$AA$29)-SUM($AA$36,$AA$42,$AA$48,$AA$54,$AA$60,$AA$66,$AA$72:$AA$79))*Parameters!$B$37/12</f>
        <v>218592.5695488722</v>
      </c>
      <c r="Y81" s="46">
        <f>(SUM($AA$18:$AA$29)-SUM($AA$36,$AA$42,$AA$48,$AA$54,$AA$60,$AA$66,$AA$72:$AA$79))*Parameters!$B$37/12</f>
        <v>218592.5695488722</v>
      </c>
      <c r="Z81" s="46">
        <f>SUMIF($B$13:$Y$13,"Yes",B81:Y81)</f>
        <v>2841703.404135338</v>
      </c>
      <c r="AA81" s="46">
        <f>SUM(B81:M81)</f>
        <v>2623110.834586466</v>
      </c>
      <c r="AB81" s="46">
        <f>SUM(B81:Y81)</f>
        <v>5246221.669172933</v>
      </c>
    </row>
    <row r="82" spans="1:30">
      <c r="A82" s="16" t="s">
        <v>52</v>
      </c>
      <c r="B82" s="46">
        <f>SUM(B83:B87)</f>
        <v>46688.2184385382</v>
      </c>
      <c r="C82" s="46">
        <f>SUM(C83:C87)</f>
        <v>46688.2184385382</v>
      </c>
      <c r="D82" s="46">
        <f>SUM(D83:D87)</f>
        <v>46688.2184385382</v>
      </c>
      <c r="E82" s="46">
        <f>SUM(E83:E87)</f>
        <v>46688.2184385382</v>
      </c>
      <c r="F82" s="46">
        <f>SUM(F83:F87)</f>
        <v>46688.2184385382</v>
      </c>
      <c r="G82" s="46">
        <f>SUM(G83:G87)</f>
        <v>46688.2184385382</v>
      </c>
      <c r="H82" s="46">
        <f>SUM(H83:H87)</f>
        <v>67054.93936877076</v>
      </c>
      <c r="I82" s="46">
        <f>SUM(I83:I87)</f>
        <v>14561.08333333333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361745.3333333333</v>
      </c>
      <c r="AA82" s="46">
        <f>SUM(B82:M82)</f>
        <v>361745.3333333333</v>
      </c>
      <c r="AB82" s="46">
        <f>SUM(B82:Y82)</f>
        <v>361745.3333333333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28914.22619047619</v>
      </c>
      <c r="C83" s="46">
        <f>IF(Calculations!$E23&gt;COUNT(Output!$B$35:C$35),Calculations!$B23,IF(Calculations!$E23=COUNT(Output!$B$35:C$35),Inputs!$B56-Calculations!$C23*(Calculations!$E23-1)+Calculations!$D23,0))</f>
        <v>28914.22619047619</v>
      </c>
      <c r="D83" s="46">
        <f>IF(Calculations!$E23&gt;COUNT(Output!$B$35:D$35),Calculations!$B23,IF(Calculations!$E23=COUNT(Output!$B$35:D$35),Inputs!$B56-Calculations!$C23*(Calculations!$E23-1)+Calculations!$D23,0))</f>
        <v>28914.22619047619</v>
      </c>
      <c r="E83" s="46">
        <f>IF(Calculations!$E23&gt;COUNT(Output!$B$35:E$35),Calculations!$B23,IF(Calculations!$E23=COUNT(Output!$B$35:E$35),Inputs!$B56-Calculations!$C23*(Calculations!$E23-1)+Calculations!$D23,0))</f>
        <v>28914.22619047619</v>
      </c>
      <c r="F83" s="46">
        <f>IF(Calculations!$E23&gt;COUNT(Output!$B$35:F$35),Calculations!$B23,IF(Calculations!$E23=COUNT(Output!$B$35:F$35),Inputs!$B56-Calculations!$C23*(Calculations!$E23-1)+Calculations!$D23,0))</f>
        <v>28914.22619047619</v>
      </c>
      <c r="G83" s="46">
        <f>IF(Calculations!$E23&gt;COUNT(Output!$B$35:G$35),Calculations!$B23,IF(Calculations!$E23=COUNT(Output!$B$35:G$35),Inputs!$B56-Calculations!$C23*(Calculations!$E23-1)+Calculations!$D23,0))</f>
        <v>28914.22619047619</v>
      </c>
      <c r="H83" s="46">
        <f>IF(Calculations!$E23&gt;COUNT(Output!$B$35:H$35),Calculations!$B23,IF(Calculations!$E23=COUNT(Output!$B$35:H$35),Inputs!$B56-Calculations!$C23*(Calculations!$E23-1)+Calculations!$D23,0))</f>
        <v>28914.22619047619</v>
      </c>
      <c r="I83" s="46">
        <f>IF(Calculations!$E23&gt;COUNT(Output!$B$35:I$35),Calculations!$B23,IF(Calculations!$E23=COUNT(Output!$B$35:I$35),Inputs!$B56-Calculations!$C23*(Calculations!$E23-1)+Calculations!$D23,0))</f>
        <v>14561.08333333333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216960.6666666667</v>
      </c>
      <c r="AA83" s="46">
        <f>SUM(B83:M83)</f>
        <v>216960.6666666667</v>
      </c>
      <c r="AB83" s="46">
        <f>SUM(B83:Y83)</f>
        <v>216960.6666666667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17773.99224806202</v>
      </c>
      <c r="C84" s="46">
        <f>IF(Calculations!$E24&gt;COUNT(Output!$B$35:C$35),Calculations!$B24,IF(Calculations!$E24=COUNT(Output!$B$35:C$35),Inputs!$B57-Calculations!$C24*(Calculations!$E24-1)+Calculations!$D24,0))</f>
        <v>17773.99224806202</v>
      </c>
      <c r="D84" s="46">
        <f>IF(Calculations!$E24&gt;COUNT(Output!$B$35:D$35),Calculations!$B24,IF(Calculations!$E24=COUNT(Output!$B$35:D$35),Inputs!$B57-Calculations!$C24*(Calculations!$E24-1)+Calculations!$D24,0))</f>
        <v>17773.99224806202</v>
      </c>
      <c r="E84" s="46">
        <f>IF(Calculations!$E24&gt;COUNT(Output!$B$35:E$35),Calculations!$B24,IF(Calculations!$E24=COUNT(Output!$B$35:E$35),Inputs!$B57-Calculations!$C24*(Calculations!$E24-1)+Calculations!$D24,0))</f>
        <v>17773.99224806202</v>
      </c>
      <c r="F84" s="46">
        <f>IF(Calculations!$E24&gt;COUNT(Output!$B$35:F$35),Calculations!$B24,IF(Calculations!$E24=COUNT(Output!$B$35:F$35),Inputs!$B57-Calculations!$C24*(Calculations!$E24-1)+Calculations!$D24,0))</f>
        <v>17773.99224806202</v>
      </c>
      <c r="G84" s="46">
        <f>IF(Calculations!$E24&gt;COUNT(Output!$B$35:G$35),Calculations!$B24,IF(Calculations!$E24=COUNT(Output!$B$35:G$35),Inputs!$B57-Calculations!$C24*(Calculations!$E24-1)+Calculations!$D24,0))</f>
        <v>17773.99224806202</v>
      </c>
      <c r="H84" s="46">
        <f>IF(Calculations!$E24&gt;COUNT(Output!$B$35:H$35),Calculations!$B24,IF(Calculations!$E24=COUNT(Output!$B$35:H$35),Inputs!$B57-Calculations!$C24*(Calculations!$E24-1)+Calculations!$D24,0))</f>
        <v>38140.71317829457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144784.6666666667</v>
      </c>
      <c r="AA84" s="46">
        <f>SUM(B84:M84)</f>
        <v>144784.6666666667</v>
      </c>
      <c r="AB84" s="46">
        <f>SUM(B84:Y84)</f>
        <v>144784.6666666667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325471.2391152299</v>
      </c>
      <c r="C88" s="19">
        <f>SUM(C72:C82,C66,C60,C54,C48,C42,C36)</f>
        <v>325471.2391152299</v>
      </c>
      <c r="D88" s="19">
        <f>SUM(D72:D82,D66,D60,D54,D48,D42,D36)</f>
        <v>325471.2391152299</v>
      </c>
      <c r="E88" s="19">
        <f>SUM(E72:E82,E66,E60,E54,E48,E42,E36)</f>
        <v>325471.2391152299</v>
      </c>
      <c r="F88" s="19">
        <f>SUM(F72:F82,F66,F60,F54,F48,F42,F36)</f>
        <v>325471.2391152299</v>
      </c>
      <c r="G88" s="19">
        <f>SUM(G72:G82,G66,G60,G54,G48,G42,G36)</f>
        <v>325471.2391152299</v>
      </c>
      <c r="H88" s="19">
        <f>SUM(H72:H82,H66,H60,H54,H48,H42,H36)</f>
        <v>345837.9600454625</v>
      </c>
      <c r="I88" s="19">
        <f>SUM(I72:I82,I66,I60,I54,I48,I42,I36)</f>
        <v>293344.104010025</v>
      </c>
      <c r="J88" s="19">
        <f>SUM(J72:J82,J66,J60,J54,J48,J42,J36)</f>
        <v>278783.0206766917</v>
      </c>
      <c r="K88" s="19">
        <f>SUM(K72:K82,K66,K60,K54,K48,K42,K36)</f>
        <v>278783.0206766917</v>
      </c>
      <c r="L88" s="19">
        <f>SUM(L72:L82,L66,L60,L54,L48,L42,L36)</f>
        <v>278783.0206766917</v>
      </c>
      <c r="M88" s="19">
        <f>SUM(M72:M82,M66,M60,M54,M48,M42,M36)</f>
        <v>278783.0206766917</v>
      </c>
      <c r="N88" s="19">
        <f>SUM(N72:N82,N66,N60,N54,N48,N42,N36)</f>
        <v>278783.0206766917</v>
      </c>
      <c r="O88" s="19">
        <f>SUM(O72:O82,O66,O60,O54,O48,O42,O36)</f>
        <v>278783.0206766917</v>
      </c>
      <c r="P88" s="19">
        <f>SUM(P72:P82,P66,P60,P54,P48,P42,P36)</f>
        <v>278783.0206766917</v>
      </c>
      <c r="Q88" s="19">
        <f>SUM(Q72:Q82,Q66,Q60,Q54,Q48,Q42,Q36)</f>
        <v>278783.0206766917</v>
      </c>
      <c r="R88" s="19">
        <f>SUM(R72:R82,R66,R60,R54,R48,R42,R36)</f>
        <v>278783.0206766917</v>
      </c>
      <c r="S88" s="19">
        <f>SUM(S72:S82,S66,S60,S54,S48,S42,S36)</f>
        <v>278783.0206766917</v>
      </c>
      <c r="T88" s="19">
        <f>SUM(T72:T82,T66,T60,T54,T48,T42,T36)</f>
        <v>278783.0206766917</v>
      </c>
      <c r="U88" s="19">
        <f>SUM(U72:U82,U66,U60,U54,U48,U42,U36)</f>
        <v>278783.0206766917</v>
      </c>
      <c r="V88" s="19">
        <f>SUM(V72:V82,V66,V60,V54,V48,V42,V36)</f>
        <v>278783.0206766917</v>
      </c>
      <c r="W88" s="19">
        <f>SUM(W72:W82,W66,W60,W54,W48,W42,W36)</f>
        <v>278783.0206766917</v>
      </c>
      <c r="X88" s="19">
        <f>SUM(X72:X82,X66,X60,X54,X48,X42,X36)</f>
        <v>278783.0206766917</v>
      </c>
      <c r="Y88" s="19">
        <f>SUM(Y72:Y82,Y66,Y60,Y54,Y48,Y42,Y36)</f>
        <v>278783.0206766917</v>
      </c>
      <c r="Z88" s="19">
        <f>SUMIF($B$13:$Y$13,"Yes",B88:Y88)</f>
        <v>3985924.602130325</v>
      </c>
      <c r="AA88" s="19">
        <f>SUM(B88:M88)</f>
        <v>3707141.581453633</v>
      </c>
      <c r="AB88" s="19">
        <f>SUM(B88:Y88)</f>
        <v>7052537.829573937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60000</v>
      </c>
    </row>
    <row r="95" spans="1:30">
      <c r="A95" t="s">
        <v>61</v>
      </c>
      <c r="B95" s="36">
        <f>Inputs!B47</f>
        <v>480000</v>
      </c>
    </row>
    <row r="96" spans="1:30">
      <c r="A96" t="s">
        <v>62</v>
      </c>
      <c r="B96" s="36">
        <f>SUMPRODUCT(Inputs!C19:C21,Calculations!O14:O16)</f>
        <v>895000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1800000</v>
      </c>
    </row>
    <row r="99" spans="1:30">
      <c r="A99" t="s">
        <v>65</v>
      </c>
      <c r="B99" s="36">
        <f>Inputs!B46</f>
        <v>850000</v>
      </c>
    </row>
    <row r="100" spans="1:30" customHeight="1" ht="15.75">
      <c r="A100" s="18" t="s">
        <v>66</v>
      </c>
      <c r="B100" s="37">
        <f>Inputs!B48</f>
        <v>120000</v>
      </c>
    </row>
    <row r="101" spans="1:30" customHeight="1" ht="15.75">
      <c r="A101" s="1" t="s">
        <v>67</v>
      </c>
      <c r="B101" s="19">
        <f>SUM(B94:B100)</f>
        <v>4205000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277412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477412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600</v>
      </c>
      <c r="D19" s="145">
        <v>3000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>
        <v>0</v>
      </c>
      <c r="L19" s="25">
        <v>3</v>
      </c>
    </row>
    <row r="20" spans="1:48">
      <c r="A20" s="143" t="s">
        <v>105</v>
      </c>
      <c r="B20" s="16"/>
      <c r="C20" s="143">
        <v>2</v>
      </c>
      <c r="D20" s="147">
        <v>1</v>
      </c>
      <c r="E20" s="16"/>
      <c r="F20" s="147" t="s">
        <v>103</v>
      </c>
      <c r="G20" s="16"/>
      <c r="H20" s="16"/>
      <c r="I20" s="147" t="s">
        <v>104</v>
      </c>
      <c r="J20" s="147">
        <v>5</v>
      </c>
      <c r="K20" s="147"/>
      <c r="L20" s="30"/>
    </row>
    <row r="21" spans="1:48">
      <c r="A21" s="144" t="s">
        <v>106</v>
      </c>
      <c r="B21" s="23"/>
      <c r="C21" s="144">
        <v>500</v>
      </c>
      <c r="D21" s="150">
        <v>0</v>
      </c>
      <c r="E21" s="23"/>
      <c r="F21" s="150" t="s">
        <v>107</v>
      </c>
      <c r="G21" s="23"/>
      <c r="H21" s="23"/>
      <c r="I21" s="150" t="s">
        <v>104</v>
      </c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90</v>
      </c>
    </row>
    <row r="27" spans="1:48">
      <c r="A27" s="14" t="s">
        <v>110</v>
      </c>
    </row>
    <row r="29" spans="1:48">
      <c r="A29" s="45" t="s">
        <v>111</v>
      </c>
      <c r="B29" s="156"/>
    </row>
    <row r="30" spans="1:48">
      <c r="A30" s="44" t="s">
        <v>112</v>
      </c>
      <c r="B30" s="157">
        <v>55000</v>
      </c>
    </row>
    <row r="31" spans="1:48">
      <c r="A31" s="5" t="s">
        <v>113</v>
      </c>
      <c r="B31" s="158">
        <v>15000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103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103</v>
      </c>
    </row>
    <row r="45" spans="1:48">
      <c r="A45" s="56" t="s">
        <v>126</v>
      </c>
      <c r="B45" s="161">
        <v>1800000</v>
      </c>
    </row>
    <row r="46" spans="1:48" customHeight="1" ht="30">
      <c r="A46" s="57" t="s">
        <v>127</v>
      </c>
      <c r="B46" s="161">
        <v>850000</v>
      </c>
    </row>
    <row r="47" spans="1:48" customHeight="1" ht="30">
      <c r="A47" s="57" t="s">
        <v>128</v>
      </c>
      <c r="B47" s="161">
        <v>480000</v>
      </c>
    </row>
    <row r="48" spans="1:48" customHeight="1" ht="30">
      <c r="A48" s="57" t="s">
        <v>129</v>
      </c>
      <c r="B48" s="161">
        <v>120000</v>
      </c>
    </row>
    <row r="49" spans="1:48" customHeight="1" ht="30">
      <c r="A49" s="57" t="s">
        <v>130</v>
      </c>
      <c r="B49" s="161">
        <v>60000</v>
      </c>
    </row>
    <row r="50" spans="1:48">
      <c r="A50" s="43"/>
      <c r="B50" s="36"/>
    </row>
    <row r="51" spans="1:48">
      <c r="A51" s="58" t="s">
        <v>131</v>
      </c>
      <c r="B51" s="161">
        <v>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>
        <v>400000</v>
      </c>
      <c r="B56" s="159">
        <v>158294</v>
      </c>
      <c r="C56" s="162" t="s">
        <v>139</v>
      </c>
      <c r="D56" s="163" t="s">
        <v>140</v>
      </c>
      <c r="E56" s="163" t="s">
        <v>103</v>
      </c>
      <c r="F56" s="163" t="s">
        <v>141</v>
      </c>
    </row>
    <row r="57" spans="1:48">
      <c r="A57" s="157">
        <v>200000</v>
      </c>
      <c r="B57" s="157">
        <v>119118</v>
      </c>
      <c r="C57" s="164" t="s">
        <v>142</v>
      </c>
      <c r="D57" s="165" t="s">
        <v>143</v>
      </c>
      <c r="E57" s="165" t="s">
        <v>103</v>
      </c>
      <c r="F57" s="165" t="s">
        <v>141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145</v>
      </c>
      <c r="C65" s="10" t="s">
        <v>146</v>
      </c>
    </row>
    <row r="66" spans="1:48">
      <c r="A66" s="142" t="s">
        <v>147</v>
      </c>
      <c r="B66" s="159">
        <v>280000</v>
      </c>
      <c r="C66" s="163">
        <v>250000</v>
      </c>
      <c r="D66" s="49">
        <f>INDEX(Parameters!$D$79:$D$90,MATCH(Inputs!A66,Parameters!$C$79:$C$90,0))</f>
        <v>3</v>
      </c>
    </row>
    <row r="67" spans="1:48">
      <c r="A67" s="143" t="s">
        <v>148</v>
      </c>
      <c r="B67" s="157">
        <v>90000</v>
      </c>
      <c r="C67" s="165">
        <v>50000</v>
      </c>
      <c r="D67" s="49">
        <f>INDEX(Parameters!$D$79:$D$90,MATCH(Inputs!A67,Parameters!$C$79:$C$90,0))</f>
        <v>4</v>
      </c>
    </row>
    <row r="68" spans="1:48">
      <c r="A68" s="143" t="s">
        <v>149</v>
      </c>
      <c r="B68" s="157">
        <v>95000</v>
      </c>
      <c r="C68" s="165">
        <v>50000</v>
      </c>
      <c r="D68" s="49">
        <f>INDEX(Parameters!$D$79:$D$90,MATCH(Inputs!A68,Parameters!$C$79:$C$90,0))</f>
        <v>5</v>
      </c>
    </row>
    <row r="69" spans="1:48">
      <c r="A69" s="143" t="s">
        <v>150</v>
      </c>
      <c r="B69" s="157">
        <v>80000</v>
      </c>
      <c r="C69" s="165">
        <v>40000</v>
      </c>
      <c r="D69" s="49">
        <f>INDEX(Parameters!$D$79:$D$90,MATCH(Inputs!A69,Parameters!$C$79:$C$90,0))</f>
        <v>6</v>
      </c>
    </row>
    <row r="70" spans="1:48">
      <c r="A70" s="143" t="s">
        <v>151</v>
      </c>
      <c r="B70" s="157">
        <v>90000</v>
      </c>
      <c r="C70" s="165">
        <v>30000</v>
      </c>
      <c r="D70" s="49">
        <f>INDEX(Parameters!$D$79:$D$90,MATCH(Inputs!A70,Parameters!$C$79:$C$90,0))</f>
        <v>7</v>
      </c>
    </row>
    <row r="71" spans="1:48">
      <c r="A71" s="144" t="s">
        <v>152</v>
      </c>
      <c r="B71" s="158">
        <v>150000</v>
      </c>
      <c r="C71" s="167">
        <v>40000</v>
      </c>
      <c r="D71" s="49">
        <f>INDEX(Parameters!$D$79:$D$90,MATCH(Inputs!A71,Parameters!$C$79:$C$90,0))</f>
        <v>8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20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200000</v>
      </c>
    </row>
    <row r="82" spans="1:48">
      <c r="A82" t="s">
        <v>162</v>
      </c>
      <c r="B82" s="161">
        <v>18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600</v>
      </c>
      <c r="E14" s="16">
        <f>Inputs!D19</f>
        <v>3000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4379999.999999999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219000</v>
      </c>
      <c r="R14" s="63">
        <f>IFERROR(D14*INDEX(Parameters!$A$22:$P$29,MATCH(Calculations!$A14,Parameters!$A$22:$A$29,0),MATCH(Parameters!$M$22,Parameters!$A$22:$P$22,0)),"")</f>
        <v>5120</v>
      </c>
      <c r="S14" s="63">
        <f>IFERROR(D14*INDEX(Parameters!$A$22:$P$29,MATCH(Calculations!$A14,Parameters!$A$22:$A$29,0),MATCH(Parameters!$N$22,Parameters!$A$22:$P$22,0)),"")</f>
        <v>41165.41353383458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2</v>
      </c>
      <c r="E15" s="16">
        <f>Inputs!D20</f>
        <v>1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8.333333333333334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25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260062.5</v>
      </c>
      <c r="Q15" s="64">
        <f>IFERROR(D15*INDEX(Parameters!$A$22:$P$29,MATCH(Calculations!$A15,Parameters!$A$22:$A$29,0),MATCH(Parameters!$L$22,Parameters!$A$22:$P$22,0))*IF(Inputs!I20="Always",1,IF(Inputs!I20="Sometimes",0.5,0))*365,"")</f>
        <v>36500</v>
      </c>
      <c r="R15" s="64">
        <f>IFERROR(D15*INDEX(Parameters!$A$22:$P$29,MATCH(Calculations!$A15,Parameters!$A$22:$A$29,0),MATCH(Parameters!$M$22,Parameters!$A$22:$P$22,0)),"")</f>
        <v>2000</v>
      </c>
      <c r="S15" s="64">
        <f>IFERROR(D15*INDEX(Parameters!$A$22:$P$29,MATCH(Calculations!$A15,Parameters!$A$22:$A$29,0),MATCH(Parameters!$N$22,Parameters!$A$22:$P$22,0)),"")</f>
        <v>12000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500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1.1</v>
      </c>
      <c r="H16" s="122">
        <f>IFERROR(IF(B16="meat",INDEX(Parameters!$A$22:$P$29,MATCH(Calculations!A16,Parameters!$A$22:$A$29,0),MATCH(Parameters!$I$22,Parameters!$A$22:$P$22,0))*G16,""),"")</f>
        <v>1.1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450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450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1980000</v>
      </c>
      <c r="Q16" s="64">
        <f>IFERROR(D16*INDEX(Parameters!$A$22:$P$29,MATCH(Calculations!$A16,Parameters!$A$22:$A$29,0),MATCH(Parameters!$L$22,Parameters!$A$22:$P$22,0))*IF(Inputs!I21="Always",1,IF(Inputs!I21="Sometimes",0.5,0))*365,"")</f>
        <v>182500</v>
      </c>
      <c r="R16" s="64">
        <f>IFERROR(D16*INDEX(Parameters!$A$22:$P$29,MATCH(Calculations!$A16,Parameters!$A$22:$A$29,0),MATCH(Parameters!$M$22,Parameters!$A$22:$P$22,0)),"")</f>
        <v>24000</v>
      </c>
      <c r="S16" s="64">
        <f>IFERROR(D16*INDEX(Parameters!$A$22:$P$29,MATCH(Calculations!$A16,Parameters!$A$22:$A$29,0),MATCH(Parameters!$N$22,Parameters!$A$22:$P$22,0)),"")</f>
        <v>20000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600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43252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105000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>400000</v>
      </c>
      <c r="B23" s="75">
        <f>SUM(C23:D23)</f>
        <v>28914.22619047619</v>
      </c>
      <c r="C23" s="75">
        <f>IF(Inputs!B56&gt;0,(Inputs!A56-Inputs!B56)/(DATE(YEAR(Inputs!$B$76),MONTH(Inputs!$B$76),DAY(Inputs!$B$76))-DATE(YEAR(Inputs!C56),MONTH(Inputs!C56),DAY(Inputs!C56)))*30,0)</f>
        <v>21580.89285714286</v>
      </c>
      <c r="D23" s="75">
        <f>IF(Inputs!B56&gt;0,Inputs!A56*0.22/12,0)</f>
        <v>7333.333333333333</v>
      </c>
      <c r="E23" s="75">
        <f>IFERROR(ROUNDUP(Inputs!B56/C23,0),0)</f>
        <v>8</v>
      </c>
    </row>
    <row r="24" spans="1:52">
      <c r="A24" s="46">
        <f>Inputs!A57</f>
        <v>200000</v>
      </c>
      <c r="B24" s="46">
        <f>SUM(C24:D24)</f>
        <v>17773.99224806202</v>
      </c>
      <c r="C24" s="46">
        <f>IF(Inputs!B57&gt;0,(Inputs!A57-Inputs!B57)/(DATE(YEAR(Inputs!$B$76),MONTH(Inputs!$B$76),DAY(Inputs!$B$76))-DATE(YEAR(Inputs!C57),MONTH(Inputs!C57),DAY(Inputs!C57)))*30,0)</f>
        <v>14107.32558139535</v>
      </c>
      <c r="D24" s="46">
        <f>IF(Inputs!B57&gt;0,Inputs!A57*0.22/12,0)</f>
        <v>3666.666666666667</v>
      </c>
      <c r="E24" s="46">
        <f>IFERROR(ROUNDUP(Inputs!B57/B24,0),0)</f>
        <v>7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Eldoret</v>
      </c>
    </row>
    <row r="33" spans="1:52">
      <c r="A33">
        <v>1</v>
      </c>
      <c r="B33" s="128">
        <f>G34</f>
        <v>42842</v>
      </c>
      <c r="C33" s="27">
        <f>IF(B33&lt;&gt;"",IF(COUNT($A$33:A33)&lt;=$G$39,0,$G$41)+IF(COUNT($A$33:A33)&lt;=$G$40,0,$G$42),0)</f>
        <v>19666.66666666667</v>
      </c>
      <c r="D33" s="170">
        <f>IFERROR(DATE(YEAR(B33),MONTH(B33),1)," ")</f>
        <v>42826</v>
      </c>
      <c r="F33" t="s">
        <v>158</v>
      </c>
      <c r="G33" s="128">
        <f>IF(Inputs!B79="","",DATE(YEAR(Inputs!B79),MONTH(Inputs!B79),DAY(Inputs!B79)))</f>
        <v>42811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42872</v>
      </c>
      <c r="C34" s="27">
        <f>IF(B34&lt;&gt;"",IF(COUNT($A$33:A34)&lt;=$G$39,0,$G$41)+IF(COUNT($A$33:A34)&lt;=$G$40,0,$G$42),0)</f>
        <v>19666.66666666667</v>
      </c>
      <c r="D34" s="170">
        <f>IFERROR(DATE(YEAR(B34),MONTH(B34),1)," ")</f>
        <v>42856</v>
      </c>
      <c r="F34" t="s">
        <v>159</v>
      </c>
      <c r="G34" s="128">
        <f>IF(Inputs!B80="","",DATE(YEAR(Inputs!B80),MONTH(Inputs!B80),DAY(Inputs!B80)))</f>
        <v>42842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42903</v>
      </c>
      <c r="C35" s="27">
        <f>IF(B35&lt;&gt;"",IF(COUNT($A$33:A35)&lt;=$G$39,0,$G$41)+IF(COUNT($A$33:A35)&lt;=$G$40,0,$G$42),0)</f>
        <v>19666.66666666667</v>
      </c>
      <c r="D35" s="170">
        <f>IFERROR(DATE(YEAR(B35),MONTH(B35),1)," ")</f>
        <v>42887</v>
      </c>
      <c r="F35" t="s">
        <v>161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42933</v>
      </c>
      <c r="C36" s="27">
        <f>IF(B36&lt;&gt;"",IF(COUNT($A$33:A36)&lt;=$G$39,0,$G$41)+IF(COUNT($A$33:A36)&lt;=$G$40,0,$G$42),0)</f>
        <v>19666.66666666667</v>
      </c>
      <c r="D36" s="170">
        <f>IFERROR(DATE(YEAR(B36),MONTH(B36),1)," ")</f>
        <v>42917</v>
      </c>
      <c r="F36" t="s">
        <v>162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42964</v>
      </c>
      <c r="C37" s="27">
        <f>IF(B37&lt;&gt;"",IF(COUNT($A$33:A37)&lt;=$G$39,0,$G$41)+IF(COUNT($A$33:A37)&lt;=$G$40,0,$G$42),0)</f>
        <v>19666.66666666667</v>
      </c>
      <c r="D37" s="170">
        <f>IFERROR(DATE(YEAR(B37),MONTH(B37),1)," ")</f>
        <v>42948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42995</v>
      </c>
      <c r="C38" s="27">
        <f>IF(B38&lt;&gt;"",IF(COUNT($A$33:A38)&lt;=$G$39,0,$G$41)+IF(COUNT($A$33:A38)&lt;=$G$40,0,$G$42),0)</f>
        <v>19666.66666666667</v>
      </c>
      <c r="D38" s="170">
        <f>IFERROR(DATE(YEAR(B38),MONTH(B38),1)," ")</f>
        <v>42979</v>
      </c>
      <c r="F38" t="s">
        <v>224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43025</v>
      </c>
      <c r="C39" s="27">
        <f>IF(B39&lt;&gt;"",IF(COUNT($A$33:A39)&lt;=$G$39,0,$G$41)+IF(COUNT($A$33:A39)&lt;=$G$40,0,$G$42),0)</f>
        <v>19666.66666666667</v>
      </c>
      <c r="D39" s="170">
        <f>IFERROR(DATE(YEAR(B39),MONTH(B39),1)," ")</f>
        <v>43009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43056</v>
      </c>
      <c r="C40" s="27">
        <f>IF(B40&lt;&gt;"",IF(COUNT($A$33:A40)&lt;=$G$39,0,$G$41)+IF(COUNT($A$33:A40)&lt;=$G$40,0,$G$42),0)</f>
        <v>19666.66666666667</v>
      </c>
      <c r="D40" s="170">
        <f>IFERROR(DATE(YEAR(B40),MONTH(B40),1)," ")</f>
        <v>43040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43086</v>
      </c>
      <c r="C41" s="27">
        <f>IF(B41&lt;&gt;"",IF(COUNT($A$33:A41)&lt;=$G$39,0,$G$41)+IF(COUNT($A$33:A41)&lt;=$G$40,0,$G$42),0)</f>
        <v>19666.66666666667</v>
      </c>
      <c r="D41" s="170">
        <f>IFERROR(DATE(YEAR(B41),MONTH(B41),1)," ")</f>
        <v>43070</v>
      </c>
      <c r="F41" t="s">
        <v>225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43117</v>
      </c>
      <c r="C42" s="27">
        <f>IF(B42&lt;&gt;"",IF(COUNT($A$33:A42)&lt;=$G$39,0,$G$41)+IF(COUNT($A$33:A42)&lt;=$G$40,0,$G$42),0)</f>
        <v>19666.66666666667</v>
      </c>
      <c r="D42" s="170">
        <f>IFERROR(DATE(YEAR(B42),MONTH(B42),1)," ")</f>
        <v>43101</v>
      </c>
      <c r="F42" t="s">
        <v>226</v>
      </c>
      <c r="G42" s="73">
        <f>IFERROR(G35*G36*IF(G37="Monthly",G38/12,IF(G37="Fortnightly",G38/(365/14),G38/(365/28)))/(G38-G40),"")</f>
        <v>3000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43148</v>
      </c>
      <c r="C43" s="27">
        <f>IF(B43&lt;&gt;"",IF(COUNT($A$33:A43)&lt;=$G$39,0,$G$41)+IF(COUNT($A$33:A43)&lt;=$G$40,0,$G$42),0)</f>
        <v>19666.66666666667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43176</v>
      </c>
      <c r="C44" s="27">
        <f>IF(B44&lt;&gt;"",IF(COUNT($A$33:A44)&lt;=$G$39,0,$G$41)+IF(COUNT($A$33:A44)&lt;=$G$40,0,$G$42),0)</f>
        <v>19666.66666666667</v>
      </c>
      <c r="D44" s="170">
        <f>IFERROR(DATE(YEAR(B44),MONTH(B44),1)," ")</f>
        <v>43160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199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102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106</v>
      </c>
      <c r="B24" s="21" t="s">
        <v>294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105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294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294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294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294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90</v>
      </c>
      <c r="B41" s="191" t="s">
        <v>107</v>
      </c>
      <c r="C41" s="191" t="s">
        <v>103</v>
      </c>
    </row>
    <row r="42" spans="1:36">
      <c r="A42" t="s">
        <v>102</v>
      </c>
      <c r="B42" s="72">
        <v>450</v>
      </c>
      <c r="C42" s="72">
        <v>450</v>
      </c>
    </row>
    <row r="43" spans="1:36">
      <c r="A43" t="s">
        <v>106</v>
      </c>
      <c r="B43" s="72">
        <v>450</v>
      </c>
      <c r="C43" s="72">
        <v>250</v>
      </c>
    </row>
    <row r="44" spans="1:36">
      <c r="A44" t="s">
        <v>105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311</v>
      </c>
      <c r="H52" s="12" t="s">
        <v>312</v>
      </c>
      <c r="I52" s="12" t="s">
        <v>124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227</v>
      </c>
      <c r="E53" s="10" t="s">
        <v>186</v>
      </c>
      <c r="F53" s="10" t="s">
        <v>246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107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107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107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107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107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107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107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164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223</v>
      </c>
      <c r="J76" s="11" t="s">
        <v>345</v>
      </c>
      <c r="K76" s="11" t="s">
        <v>176</v>
      </c>
      <c r="AJ76" s="12"/>
    </row>
    <row r="77" spans="1:36">
      <c r="A77" t="s">
        <v>103</v>
      </c>
      <c r="B77" s="176">
        <v>0</v>
      </c>
      <c r="C77" s="12" t="s">
        <v>346</v>
      </c>
      <c r="E77" s="12" t="s">
        <v>107</v>
      </c>
      <c r="F77" s="12" t="s">
        <v>107</v>
      </c>
      <c r="G77" s="12" t="s">
        <v>347</v>
      </c>
      <c r="H77" s="12" t="s">
        <v>312</v>
      </c>
      <c r="I77" s="12" t="s">
        <v>348</v>
      </c>
      <c r="J77" s="136" t="s">
        <v>349</v>
      </c>
      <c r="K77" s="12" t="s">
        <v>107</v>
      </c>
      <c r="AJ77" s="12"/>
    </row>
    <row r="78" spans="1:36">
      <c r="A78" t="s">
        <v>107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124</v>
      </c>
      <c r="I78" s="12" t="s">
        <v>354</v>
      </c>
      <c r="J78" s="70" t="s">
        <v>355</v>
      </c>
      <c r="K78" s="12" t="s">
        <v>107</v>
      </c>
      <c r="AJ78" s="12"/>
    </row>
    <row r="79" spans="1:36">
      <c r="B79" s="176">
        <v>10</v>
      </c>
      <c r="C79" s="12" t="s">
        <v>356</v>
      </c>
      <c r="D79" s="12">
        <v>1</v>
      </c>
      <c r="E79" s="12" t="s">
        <v>357</v>
      </c>
      <c r="F79" s="12" t="s">
        <v>358</v>
      </c>
      <c r="G79" s="12" t="s">
        <v>104</v>
      </c>
      <c r="I79" s="12" t="s">
        <v>164</v>
      </c>
      <c r="J79" s="70" t="s">
        <v>359</v>
      </c>
      <c r="K79" s="12" t="s">
        <v>107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361</v>
      </c>
      <c r="F80" s="12" t="s">
        <v>362</v>
      </c>
      <c r="J80" s="70" t="s">
        <v>363</v>
      </c>
      <c r="K80" s="12" t="s">
        <v>103</v>
      </c>
      <c r="AJ80" s="12"/>
    </row>
    <row r="81" spans="1:36">
      <c r="B81" s="176">
        <v>30</v>
      </c>
      <c r="C81" s="12" t="s">
        <v>147</v>
      </c>
      <c r="D81" s="12">
        <f>D80+1</f>
        <v>3</v>
      </c>
      <c r="J81" s="70" t="s">
        <v>364</v>
      </c>
      <c r="K81" s="12" t="s">
        <v>103</v>
      </c>
    </row>
    <row r="82" spans="1:36">
      <c r="B82" s="176">
        <v>40</v>
      </c>
      <c r="C82" s="12" t="s">
        <v>148</v>
      </c>
      <c r="D82" s="12">
        <f>D81+1</f>
        <v>4</v>
      </c>
      <c r="J82" s="70"/>
    </row>
    <row r="83" spans="1:36">
      <c r="B83" s="176">
        <v>50</v>
      </c>
      <c r="C83" s="12" t="s">
        <v>149</v>
      </c>
      <c r="D83" s="12">
        <f>D82+1</f>
        <v>5</v>
      </c>
    </row>
    <row r="84" spans="1:36">
      <c r="B84" s="176">
        <v>60</v>
      </c>
      <c r="C84" s="12" t="s">
        <v>150</v>
      </c>
      <c r="D84" s="12">
        <f>D83+1</f>
        <v>6</v>
      </c>
    </row>
    <row r="85" spans="1:36">
      <c r="B85" s="176">
        <v>70</v>
      </c>
      <c r="C85" s="12" t="s">
        <v>151</v>
      </c>
      <c r="D85" s="12">
        <f>D84+1</f>
        <v>7</v>
      </c>
    </row>
    <row r="86" spans="1:36">
      <c r="B86" s="176">
        <v>80</v>
      </c>
      <c r="C86" s="12" t="s">
        <v>152</v>
      </c>
      <c r="D86" s="12">
        <f>D85+1</f>
        <v>8</v>
      </c>
    </row>
    <row r="87" spans="1:36">
      <c r="B87" s="176">
        <v>89.99999999999999</v>
      </c>
      <c r="C87" s="12" t="s">
        <v>365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368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