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<sst xmlns="http://schemas.openxmlformats.org/spreadsheetml/2006/main" uniqueCount="371">
  <si>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</si>
  <si>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</si>
  <si>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</si>
  <si>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</si>
  <si>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</si>
  <si>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</si>
  <si>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</si>
  <si>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</si>
  <si>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</si>
  <si>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</si>
  <si>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</si>
  <si>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</si>
  <si>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</si>
  <si>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</si>
  <si>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</si>
  <si>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</si>
  <si>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</si>
  <si>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</si>
  <si>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</si>
  <si>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</si>
  <si>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</si>
  <si>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</si>
  <si>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</si>
  <si>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</si>
  <si>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</si>
  <si>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</si>
  <si>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</si>
  <si>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</si>
  <si>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</si>
  <si>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</si>
  <si>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</si>
  <si>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</si>
  <si>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</si>
  <si>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</si>
  <si>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</si>
  <si>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</si>
  <si>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</si>
  <si>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</si>
  <si>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</si>
  <si>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</si>
  <si>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</si>
  <si>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</si>
  <si>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</si>
  <si>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</si>
  <si>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</si>
  <si>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</si>
  <si>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</si>
  <si>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</si>
  <si>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</si>
  <si>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</si>
  <si>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</si>
  <si>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</si>
  <si>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</si>
  <si>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</si>
  <si>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</si>
  <si>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</si>
  <si>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</si>
  <si>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</si>
  <si>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</si>
  <si>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</si>
  <si>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</si>
  <si>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</si>
  <si>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</si>
  <si>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</si>
  <si>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</si>
  <si>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</si>
  <si>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</si>
  <si>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</si>
  <si>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</si>
  <si>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</si>
  <si>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</si>
  <si>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</si>
  <si>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</si>
  <si>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</si>
  <si>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</si>
  <si>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</si>
  <si>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</si>
  <si>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</si>
  <si>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</si>
  <si>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</si>
  <si>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</si>
  <si>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</si>
  <si>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</si>
  <si>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</si>
  <si>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</si>
  <si>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</si>
  <si>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</si>
  <si>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</si>
  <si>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</si>
  <si>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</si>
  <si>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</si>
  <si>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</si>
  <si>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</si>
  <si>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</si>
  <si>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July</t>
  </si>
  <si>
    <t>Cabbages</t>
  </si>
  <si>
    <t>May</t>
  </si>
  <si>
    <t>Other crops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</si>
  <si>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</si>
  <si>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</si>
  <si>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</si>
  <si>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</si>
  <si>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</si>
  <si>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</si>
  <si>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</si>
  <si>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</si>
  <si>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</si>
  <si>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</si>
  <si>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</si>
  <si>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</si>
  <si>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</si>
  <si>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</si>
  <si>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</si>
  <si>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</si>
  <si>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</si>
  <si>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</si>
  <si>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Plumbing and Office equipment supply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</si>
  <si>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</si>
  <si>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</si>
  <si>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</si>
  <si>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</si>
  <si>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</si>
  <si>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</si>
  <si>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</si>
  <si>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</si>
  <si>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</si>
  <si>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</si>
  <si>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</si>
  <si>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</si>
  <si>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</si>
  <si>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</si>
  <si>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</si>
  <si>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</si>
  <si>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</si>
  <si>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</si>
  <si>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</si>
  <si>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</si>
  <si>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</si>
  <si>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</si>
  <si>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</si>
  <si>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</si>
  <si>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</si>
  <si>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</si>
  <si>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</si>
  <si>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</si>
  <si>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6/21/2013</t>
  </si>
  <si>
    <t xml:space="preserve">Equity </t>
  </si>
  <si>
    <t>Good payer</t>
  </si>
  <si>
    <t>10/31/2010</t>
  </si>
  <si>
    <t xml:space="preserve">Ignorance of importance of  timely payment </t>
  </si>
  <si>
    <t>6/15/2016</t>
  </si>
  <si>
    <t>Mpesa &amp; bank cash flows (from past statements)</t>
  </si>
  <si>
    <t>Cash inflows</t>
  </si>
  <si>
    <t>Cash outflows</t>
  </si>
  <si>
    <t>February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</si>
  <si>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</si>
  <si>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</si>
  <si>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</si>
  <si>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</si>
  <si>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</si>
  <si>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</si>
  <si>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</si>
  <si>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2017/3/21</t>
  </si>
  <si>
    <t>Loan terms</t>
  </si>
  <si>
    <t>Expected disbursement date</t>
  </si>
  <si>
    <t>Expected first repayment date</t>
  </si>
  <si>
    <t>2017/4/21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</si>
  <si>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</si>
  <si>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</si>
  <si>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</si>
  <si>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</si>
  <si>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</si>
  <si>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</si>
  <si>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</si>
  <si>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</si>
  <si>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</si>
  <si>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</si>
  <si>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</si>
  <si>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</si>
  <si>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</si>
  <si>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</si>
  <si>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</si>
  <si>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</si>
  <si>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</si>
  <si>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</si>
  <si>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</si>
  <si>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</si>
  <si>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</si>
  <si>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</si>
  <si>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</si>
  <si>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</si>
  <si>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</si>
  <si>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</si>
  <si>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</si>
  <si>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</si>
  <si>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</si>
  <si>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</si>
  <si>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</si>
  <si>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</si>
  <si>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</si>
  <si>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</si>
  <si>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</si>
  <si>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</si>
  <si>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</si>
  <si>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</si>
  <si>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</si>
  <si>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</si>
  <si>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</si>
  <si>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</si>
  <si>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</si>
  <si>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</si>
  <si>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</si>
  <si>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</si>
  <si>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</si>
  <si>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</si>
  <si>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</si>
  <si>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</si>
  <si>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</si>
  <si>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</si>
  <si>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</si>
  <si>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</si>
  <si>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</si>
  <si>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</si>
  <si>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</si>
  <si>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</si>
  <si>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</si>
  <si>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</si>
  <si>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</si>
  <si>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</si>
  <si>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</si>
  <si>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</si>
  <si>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</si>
  <si>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</si>
  <si>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</si>
  <si>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</si>
  <si>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</si>
  <si>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</si>
  <si>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</si>
  <si>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</si>
  <si>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</si>
  <si>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</si>
  <si>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</si>
  <si>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</si>
  <si>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</si>
  <si>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</si>
  <si>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</si>
  <si>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</si>
  <si>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</si>
  <si>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</si>
  <si>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</si>
  <si>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</si>
  <si>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</si>
  <si>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</si>
  <si>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</si>
  <si>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</si>
  <si>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</si>
  <si>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</si>
  <si>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</si>
  <si>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</si>
  <si>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</si>
  <si>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</si>
  <si>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</si>
  <si>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</si>
  <si>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</si>
  <si>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</si>
  <si>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</si>
  <si>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</si>
  <si>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</si>
  <si>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</si>
  <si>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</si>
  <si>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</si>
  <si>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</si>
  <si>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</si>
  <si>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</si>
  <si>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</si>
  <si>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</si>
  <si>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</si>
  <si>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</si>
  <si>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</si>
  <si>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</si>
  <si>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</si>
  <si>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</si>
  <si>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</si>
  <si>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</si>
  <si>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</si>
  <si>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</si>
  <si>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</si>
  <si>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</si>
  <si>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</si>
  <si>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</si>
  <si>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</si>
  <si>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</si>
  <si>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</si>
  <si>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</si>
  <si>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</si>
  <si>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</si>
  <si>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</si>
  <si>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</si>
  <si>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</si>
  <si>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</si>
  <si>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</si>
  <si>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</si>
  <si>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</si>
  <si>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</si>
  <si>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</si>
  <si>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</si>
  <si>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</si>
  <si>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</si>
  <si>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</si>
  <si>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</si>
  <si>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</si>
  <si>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</si>
  <si>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</si>
  <si>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</si>
  <si>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</si>
  <si>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</si>
  <si>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</si>
  <si>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</si>
  <si>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</si>
  <si>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</si>
  <si>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</si>
  <si>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</si>
  <si>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</si>
  <si>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</si>
  <si>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</si>
  <si>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</si>
  <si>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</si>
  <si>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</si>
  <si>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</si>
  <si>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</si>
  <si>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</si>
  <si>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</si>
  <si>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</si>
  <si>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</si>
  <si>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</si>
  <si>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</si>
  <si>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</si>
  <si>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</si>
  <si>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</si>
  <si>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</si>
  <si>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</si>
  <si>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</si>
  <si>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</si>
  <si>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</si>
  <si>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</si>
  <si>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</si>
  <si>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</si>
  <si>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</si>
  <si>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</si>
  <si>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</si>
  <si>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</si>
  <si>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</si>
  <si>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</si>
  <si>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</si>
  <si>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</si>
  <si>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</si>
  <si>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</si>
  <si>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</si>
  <si>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</si>
  <si>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</si>
  <si>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</si>
  <si>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</si>
  <si>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</si>
  <si>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</si>
  <si>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</si>
  <si>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</si>
  <si>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</si>
  <si>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</si>
  <si>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</si>
  <si>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June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</si>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</sst>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Plumbing and Office equipment supply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0.3205190313737504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0.07936507936507936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848275.6478051497</v>
      </c>
    </row>
    <row r="18" spans="1:7">
      <c r="B18" s="1" t="s">
        <v>12</v>
      </c>
      <c r="C18" s="36">
        <f>MIN(Output!B6:M6)</f>
        <v>-98751.42487806387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474034.2987528543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29500.66666666667</v>
      </c>
    </row>
    <row r="25" spans="1:7">
      <c r="B25" s="1" t="s">
        <v>18</v>
      </c>
      <c r="C25" s="36">
        <f>MAX(Inputs!A56:A60)</f>
        <v>84442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-43817.04987806387</v>
      </c>
      <c r="C6" s="51">
        <f>C30-C88</f>
        <v>474034.2987528543</v>
      </c>
      <c r="D6" s="51">
        <f>D30-D88</f>
        <v>-10116.79987806387</v>
      </c>
      <c r="E6" s="51">
        <f>E30-E88</f>
        <v>-7510.799878063874</v>
      </c>
      <c r="F6" s="51">
        <f>F30-F88</f>
        <v>-46751.42487806387</v>
      </c>
      <c r="G6" s="51">
        <f>G30-G88</f>
        <v>84299.59966197584</v>
      </c>
      <c r="H6" s="51">
        <f>H30-H88</f>
        <v>-43817.04987806387</v>
      </c>
      <c r="I6" s="51">
        <f>I30-I88</f>
        <v>474034.2987528543</v>
      </c>
      <c r="J6" s="51">
        <f>J30-J88</f>
        <v>-10116.79987806387</v>
      </c>
      <c r="K6" s="51">
        <f>K30-K88</f>
        <v>-7510.799878063874</v>
      </c>
      <c r="L6" s="51">
        <f>L30-L88</f>
        <v>-98751.42487806387</v>
      </c>
      <c r="M6" s="51">
        <f>M30-M88</f>
        <v>84299.59966197584</v>
      </c>
      <c r="N6" s="51">
        <f>N30-N88</f>
        <v>-43817.04987806387</v>
      </c>
      <c r="O6" s="51">
        <f>O30-O88</f>
        <v>474034.2987528543</v>
      </c>
      <c r="P6" s="51">
        <f>P30-P88</f>
        <v>-10116.79987806387</v>
      </c>
      <c r="Q6" s="51">
        <f>Q30-Q88</f>
        <v>-7510.799878063874</v>
      </c>
      <c r="R6" s="51">
        <f>R30-R88</f>
        <v>-46751.42487806387</v>
      </c>
      <c r="S6" s="51">
        <f>S30-S88</f>
        <v>84299.59966197584</v>
      </c>
      <c r="T6" s="51">
        <f>T30-T88</f>
        <v>-43817.04987806387</v>
      </c>
      <c r="U6" s="51">
        <f>U30-U88</f>
        <v>474034.2987528543</v>
      </c>
      <c r="V6" s="51">
        <f>V30-V88</f>
        <v>-10116.79987806387</v>
      </c>
      <c r="W6" s="51">
        <f>W30-W88</f>
        <v>-7510.799878063874</v>
      </c>
      <c r="X6" s="51">
        <f>X30-X88</f>
        <v>-98751.42487806387</v>
      </c>
      <c r="Y6" s="51">
        <f>Y30-Y88</f>
        <v>84299.59966197584</v>
      </c>
      <c r="Z6" s="51">
        <f>SUMIF($B$13:$Y$13,"Yes",B6:Y6)</f>
        <v>804458.5979270858</v>
      </c>
      <c r="AA6" s="51">
        <f>AA30-AA88</f>
        <v>848275.6478051494</v>
      </c>
      <c r="AB6" s="51">
        <f>AB30-AB88</f>
        <v>1696551.295610297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24170</v>
      </c>
      <c r="I7" s="80">
        <f>IF(ISERROR(VLOOKUP(MONTH(I5),Inputs!$D$66:$D$71,1,0)),"",INDEX(Inputs!$B$66:$B$71,MATCH(MONTH(Output!I5),Inputs!$D$66:$D$71,0))-INDEX(Inputs!$C$66:$C$71,MATCH(MONTH(Output!I5),Inputs!$D$66:$D$71,0)))</f>
        <v>29780</v>
      </c>
      <c r="J7" s="80">
        <f>IF(ISERROR(VLOOKUP(MONTH(J5),Inputs!$D$66:$D$71,1,0)),"",INDEX(Inputs!$B$66:$B$71,MATCH(MONTH(Output!J5),Inputs!$D$66:$D$71,0))-INDEX(Inputs!$C$66:$C$71,MATCH(MONTH(Output!J5),Inputs!$D$66:$D$71,0)))</f>
        <v>32042</v>
      </c>
      <c r="K7" s="80">
        <f>IF(ISERROR(VLOOKUP(MONTH(K5),Inputs!$D$66:$D$71,1,0)),"",INDEX(Inputs!$B$66:$B$71,MATCH(MONTH(Output!K5),Inputs!$D$66:$D$71,0))-INDEX(Inputs!$C$66:$C$71,MATCH(MONTH(Output!K5),Inputs!$D$66:$D$71,0)))</f>
        <v>18724</v>
      </c>
      <c r="L7" s="80">
        <f>IF(ISERROR(VLOOKUP(MONTH(L5),Inputs!$D$66:$D$71,1,0)),"",INDEX(Inputs!$B$66:$B$71,MATCH(MONTH(Output!L5),Inputs!$D$66:$D$71,0))-INDEX(Inputs!$C$66:$C$71,MATCH(MONTH(Output!L5),Inputs!$D$66:$D$71,0)))</f>
        <v>25410</v>
      </c>
      <c r="M7" s="80">
        <f>IF(ISERROR(VLOOKUP(MONTH(M5),Inputs!$D$66:$D$71,1,0)),"",INDEX(Inputs!$B$66:$B$71,MATCH(MONTH(Output!M5),Inputs!$D$66:$D$71,0))-INDEX(Inputs!$C$66:$C$71,MATCH(MONTH(Output!M5),Inputs!$D$66:$D$71,0)))</f>
        <v>8354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24170</v>
      </c>
      <c r="U7" s="80">
        <f>IF(ISERROR(VLOOKUP(MONTH(U5),Inputs!$D$66:$D$71,1,0)),"",INDEX(Inputs!$B$66:$B$71,MATCH(MONTH(Output!U5),Inputs!$D$66:$D$71,0))-INDEX(Inputs!$C$66:$C$71,MATCH(MONTH(Output!U5),Inputs!$D$66:$D$71,0)))</f>
        <v>29780</v>
      </c>
      <c r="V7" s="80">
        <f>IF(ISERROR(VLOOKUP(MONTH(V5),Inputs!$D$66:$D$71,1,0)),"",INDEX(Inputs!$B$66:$B$71,MATCH(MONTH(Output!V5),Inputs!$D$66:$D$71,0))-INDEX(Inputs!$C$66:$C$71,MATCH(MONTH(Output!V5),Inputs!$D$66:$D$71,0)))</f>
        <v>32042</v>
      </c>
      <c r="W7" s="80">
        <f>IF(ISERROR(VLOOKUP(MONTH(W5),Inputs!$D$66:$D$71,1,0)),"",INDEX(Inputs!$B$66:$B$71,MATCH(MONTH(Output!W5),Inputs!$D$66:$D$71,0))-INDEX(Inputs!$C$66:$C$71,MATCH(MONTH(Output!W5),Inputs!$D$66:$D$71,0)))</f>
        <v>18724</v>
      </c>
      <c r="X7" s="80">
        <f>IF(ISERROR(VLOOKUP(MONTH(X5),Inputs!$D$66:$D$71,1,0)),"",INDEX(Inputs!$B$66:$B$71,MATCH(MONTH(Output!X5),Inputs!$D$66:$D$71,0))-INDEX(Inputs!$C$66:$C$71,MATCH(MONTH(Output!X5),Inputs!$D$66:$D$71,0)))</f>
        <v>25410</v>
      </c>
      <c r="Y7" s="80">
        <f>IF(ISERROR(VLOOKUP(MONTH(Y5),Inputs!$D$66:$D$71,1,0)),"",INDEX(Inputs!$B$66:$B$71,MATCH(MONTH(Output!Y5),Inputs!$D$66:$D$71,0))-INDEX(Inputs!$C$66:$C$71,MATCH(MONTH(Output!Y5),Inputs!$D$66:$D$71,0)))</f>
        <v>8354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256182.9501219361</v>
      </c>
      <c r="C11" s="80">
        <f>C6+C9-C10</f>
        <v>444534.2987528543</v>
      </c>
      <c r="D11" s="80">
        <f>D6+D9-D10</f>
        <v>-39616.79987806387</v>
      </c>
      <c r="E11" s="80">
        <f>E6+E9-E10</f>
        <v>-37010.79987806387</v>
      </c>
      <c r="F11" s="80">
        <f>F6+F9-F10</f>
        <v>-76251.42487806387</v>
      </c>
      <c r="G11" s="80">
        <f>G6+G9-G10</f>
        <v>54799.59966197584</v>
      </c>
      <c r="H11" s="80">
        <f>H6+H9-H10</f>
        <v>-73317.04987806387</v>
      </c>
      <c r="I11" s="80">
        <f>I6+I9-I10</f>
        <v>444534.2987528543</v>
      </c>
      <c r="J11" s="80">
        <f>J6+J9-J10</f>
        <v>-39616.79987806387</v>
      </c>
      <c r="K11" s="80">
        <f>K6+K9-K10</f>
        <v>-37010.79987806387</v>
      </c>
      <c r="L11" s="80">
        <f>L6+L9-L10</f>
        <v>-128251.4248780639</v>
      </c>
      <c r="M11" s="80">
        <f>M6+M9-M10</f>
        <v>54799.59966197584</v>
      </c>
      <c r="N11" s="80">
        <f>N6+N9-N10</f>
        <v>-73317.04987806387</v>
      </c>
      <c r="O11" s="80">
        <f>O6+O9-O10</f>
        <v>474034.2987528543</v>
      </c>
      <c r="P11" s="80">
        <f>P6+P9-P10</f>
        <v>-10116.79987806387</v>
      </c>
      <c r="Q11" s="80">
        <f>Q6+Q9-Q10</f>
        <v>-7510.799878063874</v>
      </c>
      <c r="R11" s="80">
        <f>R6+R9-R10</f>
        <v>-46751.42487806387</v>
      </c>
      <c r="S11" s="80">
        <f>S6+S9-S10</f>
        <v>84299.59966197584</v>
      </c>
      <c r="T11" s="80">
        <f>T6+T9-T10</f>
        <v>-43817.04987806387</v>
      </c>
      <c r="U11" s="80">
        <f>U6+U9-U10</f>
        <v>474034.2987528543</v>
      </c>
      <c r="V11" s="80">
        <f>V6+V9-V10</f>
        <v>-10116.79987806387</v>
      </c>
      <c r="W11" s="80">
        <f>W6+W9-W10</f>
        <v>-7510.799878063874</v>
      </c>
      <c r="X11" s="80">
        <f>X6+X9-X10</f>
        <v>-98751.42487806387</v>
      </c>
      <c r="Y11" s="80">
        <f>Y6+Y9-Y10</f>
        <v>84299.59966197584</v>
      </c>
      <c r="Z11" s="85">
        <f>SUMIF($B$13:$Y$13,"Yes",B11:Y11)</f>
        <v>750458.5979270858</v>
      </c>
      <c r="AA11" s="80">
        <f>SUM(B11:M11)</f>
        <v>823775.6478051497</v>
      </c>
      <c r="AB11" s="46">
        <f>SUM(B11:Y11)</f>
        <v>1642551.295610299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0.04039893613230482</v>
      </c>
      <c r="D12" s="82">
        <f>IF(D13="Yes",IF(SUM($B$10:D10)/(SUM($B$6:D6)+SUM($B$9:D9))&lt;0,999.99,SUM($B$10:D10)/(SUM($B$6:D6)+SUM($B$9:D9))),"")</f>
        <v>0.08193301376523401</v>
      </c>
      <c r="E12" s="82">
        <f>IF(E13="Yes",IF(SUM($B$10:E10)/(SUM($B$6:E6)+SUM($B$9:E9))&lt;0,999.99,SUM($B$10:E10)/(SUM($B$6:E6)+SUM($B$9:E9))),"")</f>
        <v>0.1241948997006308</v>
      </c>
      <c r="F12" s="82">
        <f>IF(F13="Yes",IF(SUM($B$10:F10)/(SUM($B$6:F6)+SUM($B$9:F9))&lt;0,999.99,SUM($B$10:F10)/(SUM($B$6:F6)+SUM($B$9:F9))),"")</f>
        <v>0.1772202251298823</v>
      </c>
      <c r="G12" s="82">
        <f>IF(G13="Yes",IF(SUM($B$10:G10)/(SUM($B$6:G6)+SUM($B$9:G9))&lt;0,999.99,SUM($B$10:G10)/(SUM($B$6:G6)+SUM($B$9:G9))),"")</f>
        <v>0.1966305328168024</v>
      </c>
      <c r="H12" s="82">
        <f>IF(H13="Yes",IF(SUM($B$10:H10)/(SUM($B$6:H6)+SUM($B$9:H9))&lt;0,999.99,SUM($B$10:H10)/(SUM($B$6:H6)+SUM($B$9:H9))),"")</f>
        <v>0.2505943567134239</v>
      </c>
      <c r="I12" s="82">
        <f>IF(I13="Yes",IF(SUM($B$10:I10)/(SUM($B$6:I6)+SUM($B$9:I9))&lt;0,999.99,SUM($B$10:I10)/(SUM($B$6:I6)+SUM($B$9:I9))),"")</f>
        <v>0.1749473567424989</v>
      </c>
      <c r="J12" s="82">
        <f>IF(J13="Yes",IF(SUM($B$10:J10)/(SUM($B$6:J6)+SUM($B$9:J9))&lt;0,999.99,SUM($B$10:J10)/(SUM($B$6:J6)+SUM($B$9:J9))),"")</f>
        <v>0.2016683315401253</v>
      </c>
      <c r="K12" s="82">
        <f>IF(K13="Yes",IF(SUM($B$10:K10)/(SUM($B$6:K6)+SUM($B$9:K9))&lt;0,999.99,SUM($B$10:K10)/(SUM($B$6:K6)+SUM($B$9:K9))),"")</f>
        <v>0.2283424157082341</v>
      </c>
      <c r="L12" s="82">
        <f>IF(L13="Yes",IF(SUM($B$10:L10)/(SUM($B$6:L6)+SUM($B$9:L9))&lt;0,999.99,SUM($B$10:L10)/(SUM($B$6:L6)+SUM($B$9:L9))),"")</f>
        <v>0.2772618805797623</v>
      </c>
      <c r="M12" s="82">
        <f>IF(M13="Yes",IF(SUM($B$10:M10)/(SUM($B$6:M6)+SUM($B$9:M9))&lt;0,999.99,SUM($B$10:M10)/(SUM($B$6:M6)+SUM($B$9:M9))),"")</f>
        <v>0.2825976503292215</v>
      </c>
      <c r="N12" s="82">
        <f>IF(N13="Yes",IF(SUM($B$10:N10)/(SUM($B$6:N6)+SUM($B$9:N9))&lt;0,999.99,SUM($B$10:N10)/(SUM($B$6:N6)+SUM($B$9:N9))),"")</f>
        <v>0.3205190313737504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504351.3486309182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504351.3486309182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504351.3486309182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504351.3486309182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1008702.697261836</v>
      </c>
      <c r="AA18" s="36">
        <f>SUM(B18:M18)</f>
        <v>1008702.697261836</v>
      </c>
      <c r="AB18" s="36">
        <f>SUM(B18:Y18)</f>
        <v>2017405.394523673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120001.0245400397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120001.0245400397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120001.0245400397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120001.0245400397</v>
      </c>
      <c r="Z19" s="36">
        <f>SUMIF($B$13:$Y$13,"Yes",B19:Y19)</f>
        <v>240002.0490800794</v>
      </c>
      <c r="AA19" s="36">
        <f>SUM(B19:M19)</f>
        <v>240002.0490800794</v>
      </c>
      <c r="AB19" s="36">
        <f>SUM(B19:Y19)</f>
        <v>480004.0981601588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130000</v>
      </c>
      <c r="C29" s="37">
        <f>Inputs!$B$30</f>
        <v>130000</v>
      </c>
      <c r="D29" s="37">
        <f>Inputs!$B$30</f>
        <v>130000</v>
      </c>
      <c r="E29" s="37">
        <f>Inputs!$B$30</f>
        <v>130000</v>
      </c>
      <c r="F29" s="37">
        <f>Inputs!$B$30</f>
        <v>130000</v>
      </c>
      <c r="G29" s="37">
        <f>Inputs!$B$30</f>
        <v>130000</v>
      </c>
      <c r="H29" s="37">
        <f>Inputs!$B$30</f>
        <v>130000</v>
      </c>
      <c r="I29" s="37">
        <f>Inputs!$B$30</f>
        <v>130000</v>
      </c>
      <c r="J29" s="37">
        <f>Inputs!$B$30</f>
        <v>130000</v>
      </c>
      <c r="K29" s="37">
        <f>Inputs!$B$30</f>
        <v>130000</v>
      </c>
      <c r="L29" s="37">
        <f>Inputs!$B$30</f>
        <v>130000</v>
      </c>
      <c r="M29" s="37">
        <f>Inputs!$B$30</f>
        <v>130000</v>
      </c>
      <c r="N29" s="37">
        <f>Inputs!$B$30</f>
        <v>130000</v>
      </c>
      <c r="O29" s="37">
        <f>Inputs!$B$30</f>
        <v>130000</v>
      </c>
      <c r="P29" s="37">
        <f>Inputs!$B$30</f>
        <v>130000</v>
      </c>
      <c r="Q29" s="37">
        <f>Inputs!$B$30</f>
        <v>130000</v>
      </c>
      <c r="R29" s="37">
        <f>Inputs!$B$30</f>
        <v>130000</v>
      </c>
      <c r="S29" s="37">
        <f>Inputs!$B$30</f>
        <v>130000</v>
      </c>
      <c r="T29" s="37">
        <f>Inputs!$B$30</f>
        <v>130000</v>
      </c>
      <c r="U29" s="37">
        <f>Inputs!$B$30</f>
        <v>130000</v>
      </c>
      <c r="V29" s="37">
        <f>Inputs!$B$30</f>
        <v>130000</v>
      </c>
      <c r="W29" s="37">
        <f>Inputs!$B$30</f>
        <v>130000</v>
      </c>
      <c r="X29" s="37">
        <f>Inputs!$B$30</f>
        <v>130000</v>
      </c>
      <c r="Y29" s="37">
        <f>Inputs!$B$30</f>
        <v>130000</v>
      </c>
      <c r="Z29" s="37">
        <f>SUMIF($B$13:$Y$13,"Yes",B29:Y29)</f>
        <v>1690000</v>
      </c>
      <c r="AA29" s="37">
        <f>SUM(B29:M29)</f>
        <v>1560000</v>
      </c>
      <c r="AB29" s="37">
        <f>SUM(B29:Y29)</f>
        <v>3120000</v>
      </c>
    </row>
    <row r="30" spans="1:30" customHeight="1" ht="15.75">
      <c r="A30" s="1" t="s">
        <v>37</v>
      </c>
      <c r="B30" s="19">
        <f>SUM(B18:B29)</f>
        <v>130000</v>
      </c>
      <c r="C30" s="19">
        <f>SUM(C18:C29)</f>
        <v>634351.3486309182</v>
      </c>
      <c r="D30" s="19">
        <f>SUM(D18:D29)</f>
        <v>130000</v>
      </c>
      <c r="E30" s="19">
        <f>SUM(E18:E29)</f>
        <v>130000</v>
      </c>
      <c r="F30" s="19">
        <f>SUM(F18:F29)</f>
        <v>130000</v>
      </c>
      <c r="G30" s="19">
        <f>SUM(G18:G29)</f>
        <v>250001.0245400397</v>
      </c>
      <c r="H30" s="19">
        <f>SUM(H18:H29)</f>
        <v>130000</v>
      </c>
      <c r="I30" s="19">
        <f>SUM(I18:I29)</f>
        <v>634351.3486309182</v>
      </c>
      <c r="J30" s="19">
        <f>SUM(J18:J29)</f>
        <v>130000</v>
      </c>
      <c r="K30" s="19">
        <f>SUM(K18:K29)</f>
        <v>130000</v>
      </c>
      <c r="L30" s="19">
        <f>SUM(L18:L29)</f>
        <v>130000</v>
      </c>
      <c r="M30" s="19">
        <f>SUM(M18:M29)</f>
        <v>250001.0245400397</v>
      </c>
      <c r="N30" s="19">
        <f>SUM(N18:N29)</f>
        <v>130000</v>
      </c>
      <c r="O30" s="19">
        <f>SUM(O18:O29)</f>
        <v>634351.3486309182</v>
      </c>
      <c r="P30" s="19">
        <f>SUM(P18:P29)</f>
        <v>130000</v>
      </c>
      <c r="Q30" s="19">
        <f>SUM(Q18:Q29)</f>
        <v>130000</v>
      </c>
      <c r="R30" s="19">
        <f>SUM(R18:R29)</f>
        <v>130000</v>
      </c>
      <c r="S30" s="19">
        <f>SUM(S18:S29)</f>
        <v>250001.0245400397</v>
      </c>
      <c r="T30" s="19">
        <f>SUM(T18:T29)</f>
        <v>130000</v>
      </c>
      <c r="U30" s="19">
        <f>SUM(U18:U29)</f>
        <v>634351.3486309182</v>
      </c>
      <c r="V30" s="19">
        <f>SUM(V18:V29)</f>
        <v>130000</v>
      </c>
      <c r="W30" s="19">
        <f>SUM(W18:W29)</f>
        <v>130000</v>
      </c>
      <c r="X30" s="19">
        <f>SUM(X18:X29)</f>
        <v>130000</v>
      </c>
      <c r="Y30" s="19">
        <f>SUM(Y18:Y29)</f>
        <v>250001.0245400397</v>
      </c>
      <c r="Z30" s="19">
        <f>SUMIF($B$13:$Y$13,"Yes",B30:Y30)</f>
        <v>2938704.746341916</v>
      </c>
      <c r="AA30" s="19">
        <f>SUM(B30:M30)</f>
        <v>2808704.746341916</v>
      </c>
      <c r="AB30" s="19">
        <f>SUM(B30:Y30)</f>
        <v>5617409.492683832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6000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8000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6000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8000</v>
      </c>
      <c r="Y36" s="36">
        <f>SUM(Y37:Y41)</f>
        <v>0</v>
      </c>
      <c r="Z36" s="36">
        <f>SUMIF($B$13:$Y$13,"Yes",B36:Y36)</f>
        <v>18000</v>
      </c>
      <c r="AA36" s="36">
        <f>SUM(B36:M36)</f>
        <v>18000</v>
      </c>
      <c r="AB36" s="36">
        <f>SUM(B36:Y36)</f>
        <v>36000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6000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6000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6000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6000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2000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2000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</v>
      </c>
      <c r="E42" s="36">
        <f>Q42</f>
        <v>0</v>
      </c>
      <c r="F42" s="36">
        <f>R42</f>
        <v>2250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606</v>
      </c>
      <c r="K42" s="36">
        <f>W42</f>
        <v>0</v>
      </c>
      <c r="L42" s="36">
        <f>X42</f>
        <v>2250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</v>
      </c>
      <c r="Q42" s="36">
        <f>SUM(Q43:Q47)</f>
        <v>0</v>
      </c>
      <c r="R42" s="36">
        <f>SUM(R43:R47)</f>
        <v>2250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606</v>
      </c>
      <c r="W42" s="36">
        <f>SUM(W43:W47)</f>
        <v>0</v>
      </c>
      <c r="X42" s="36">
        <f>SUM(X43:X47)</f>
        <v>2250</v>
      </c>
      <c r="Y42" s="36">
        <f>SUM(Y43:Y47)</f>
        <v>0</v>
      </c>
      <c r="Z42" s="36">
        <f>SUMIF($B$13:$Y$13,"Yes",B42:Y42)</f>
        <v>5712</v>
      </c>
      <c r="AA42" s="36">
        <f>SUM(B42:M42)</f>
        <v>5712</v>
      </c>
      <c r="AB42" s="36">
        <f>SUM(B42:Y42)</f>
        <v>11424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2250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2250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2250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2250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4500</v>
      </c>
      <c r="AA43" s="36">
        <f>SUM(B43:M43)</f>
        <v>4500</v>
      </c>
      <c r="AB43" s="36">
        <f>SUM(B43:Y43)</f>
        <v>9000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606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606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606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606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13500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2800</v>
      </c>
      <c r="G48" s="36">
        <f>S48</f>
        <v>0</v>
      </c>
      <c r="H48" s="36">
        <f>T48</f>
        <v>13500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2800</v>
      </c>
      <c r="M48" s="36">
        <f>Y48</f>
        <v>0</v>
      </c>
      <c r="N48" s="46">
        <f>SUM(N49:N53)</f>
        <v>13500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2800</v>
      </c>
      <c r="S48" s="46">
        <f>SUM(S49:S53)</f>
        <v>0</v>
      </c>
      <c r="T48" s="46">
        <f>SUM(T49:T53)</f>
        <v>13500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2800</v>
      </c>
      <c r="Y48" s="46">
        <f>SUM(Y49:Y53)</f>
        <v>0</v>
      </c>
      <c r="Z48" s="46">
        <f>SUMIF($B$13:$Y$13,"Yes",B48:Y48)</f>
        <v>46100</v>
      </c>
      <c r="AA48" s="46">
        <f>SUM(B48:M48)</f>
        <v>32600</v>
      </c>
      <c r="AB48" s="46">
        <f>SUM(B48:Y48)</f>
        <v>65200</v>
      </c>
    </row>
    <row r="49" spans="1:30" hidden="true" outlineLevel="1">
      <c r="A49" s="181" t="str">
        <f>Calculations!$A$4</f>
        <v>Tomatoes</v>
      </c>
      <c r="B49" s="36">
        <f>N49</f>
        <v>13500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13500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13500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13500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40500</v>
      </c>
      <c r="AA49" s="46">
        <f>SUM(B49:M49)</f>
        <v>27000</v>
      </c>
      <c r="AB49" s="46">
        <f>SUM(B49:Y49)</f>
        <v>54000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2800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2800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2800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2800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5600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4500</v>
      </c>
      <c r="C60" s="36">
        <f>O60</f>
        <v>4500</v>
      </c>
      <c r="D60" s="36">
        <f>P60</f>
        <v>2000</v>
      </c>
      <c r="E60" s="36">
        <f>Q60</f>
        <v>2000</v>
      </c>
      <c r="F60" s="36">
        <f>R60</f>
        <v>6500</v>
      </c>
      <c r="G60" s="36">
        <f>S60</f>
        <v>6500</v>
      </c>
      <c r="H60" s="36">
        <f>T60</f>
        <v>4500</v>
      </c>
      <c r="I60" s="36">
        <f>U60</f>
        <v>4500</v>
      </c>
      <c r="J60" s="36">
        <f>V60</f>
        <v>2000</v>
      </c>
      <c r="K60" s="36">
        <f>W60</f>
        <v>2000</v>
      </c>
      <c r="L60" s="36">
        <f>X60</f>
        <v>6500</v>
      </c>
      <c r="M60" s="36">
        <f>Y60</f>
        <v>6500</v>
      </c>
      <c r="N60" s="46">
        <f>SUM(N61:N65)</f>
        <v>4500</v>
      </c>
      <c r="O60" s="46">
        <f>SUM(O61:O65)</f>
        <v>4500</v>
      </c>
      <c r="P60" s="46">
        <f>SUM(P61:P65)</f>
        <v>2000</v>
      </c>
      <c r="Q60" s="46">
        <f>SUM(Q61:Q65)</f>
        <v>2000</v>
      </c>
      <c r="R60" s="46">
        <f>SUM(R61:R65)</f>
        <v>6500</v>
      </c>
      <c r="S60" s="46">
        <f>SUM(S61:S65)</f>
        <v>6500</v>
      </c>
      <c r="T60" s="46">
        <f>SUM(T61:T65)</f>
        <v>4500</v>
      </c>
      <c r="U60" s="46">
        <f>SUM(U61:U65)</f>
        <v>4500</v>
      </c>
      <c r="V60" s="46">
        <f>SUM(V61:V65)</f>
        <v>2000</v>
      </c>
      <c r="W60" s="46">
        <f>SUM(W61:W65)</f>
        <v>2000</v>
      </c>
      <c r="X60" s="46">
        <f>SUM(X61:X65)</f>
        <v>6500</v>
      </c>
      <c r="Y60" s="46">
        <f>SUM(Y61:Y65)</f>
        <v>6500</v>
      </c>
      <c r="Z60" s="46">
        <f>SUMIF($B$13:$Y$13,"Yes",B60:Y60)</f>
        <v>56500</v>
      </c>
      <c r="AA60" s="46">
        <f>SUM(B60:M60)</f>
        <v>52000</v>
      </c>
      <c r="AB60" s="46">
        <f>SUM(B60:Y60)</f>
        <v>104000</v>
      </c>
    </row>
    <row r="61" spans="1:30" hidden="true" outlineLevel="1">
      <c r="A61" s="181" t="str">
        <f>Calculations!$A$4</f>
        <v>Tomatoes</v>
      </c>
      <c r="B61" s="36">
        <f>N61</f>
        <v>4500</v>
      </c>
      <c r="C61" s="36">
        <f>O61</f>
        <v>4500</v>
      </c>
      <c r="D61" s="36">
        <f>P61</f>
        <v>0</v>
      </c>
      <c r="E61" s="36">
        <f>Q61</f>
        <v>0</v>
      </c>
      <c r="F61" s="36">
        <f>R61</f>
        <v>4500</v>
      </c>
      <c r="G61" s="36">
        <f>S61</f>
        <v>4500</v>
      </c>
      <c r="H61" s="36">
        <f>T61</f>
        <v>4500</v>
      </c>
      <c r="I61" s="36">
        <f>U61</f>
        <v>4500</v>
      </c>
      <c r="J61" s="36">
        <f>V61</f>
        <v>0</v>
      </c>
      <c r="K61" s="36">
        <f>W61</f>
        <v>0</v>
      </c>
      <c r="L61" s="36">
        <f>X61</f>
        <v>4500</v>
      </c>
      <c r="M61" s="36">
        <f>Y61</f>
        <v>4500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4500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4500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4500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4500</v>
      </c>
      <c r="Z61" s="46">
        <f>SUMIF($B$13:$Y$13,"Yes",B61:Y61)</f>
        <v>40500</v>
      </c>
      <c r="AA61" s="46">
        <f>SUM(B61:M61)</f>
        <v>36000</v>
      </c>
      <c r="AB61" s="46">
        <f>SUM(B61:Y61)</f>
        <v>72000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2000</v>
      </c>
      <c r="E62" s="36">
        <f>Q62</f>
        <v>2000</v>
      </c>
      <c r="F62" s="36">
        <f>R62</f>
        <v>2000</v>
      </c>
      <c r="G62" s="36">
        <f>S62</f>
        <v>2000</v>
      </c>
      <c r="H62" s="36">
        <f>T62</f>
        <v>0</v>
      </c>
      <c r="I62" s="36">
        <f>U62</f>
        <v>0</v>
      </c>
      <c r="J62" s="36">
        <f>V62</f>
        <v>2000</v>
      </c>
      <c r="K62" s="36">
        <f>W62</f>
        <v>2000</v>
      </c>
      <c r="L62" s="36">
        <f>X62</f>
        <v>2000</v>
      </c>
      <c r="M62" s="36">
        <f>Y62</f>
        <v>2000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2000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2000</v>
      </c>
      <c r="Z62" s="46">
        <f>SUMIF($B$13:$Y$13,"Yes",B62:Y62)</f>
        <v>16000</v>
      </c>
      <c r="AA62" s="46">
        <f>SUM(B62:M62)</f>
        <v>16000</v>
      </c>
      <c r="AB62" s="46">
        <f>SUM(B62:Y62)</f>
        <v>32000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23690.625</v>
      </c>
      <c r="C66" s="36">
        <f>O66</f>
        <v>23690.625</v>
      </c>
      <c r="D66" s="36">
        <f>P66</f>
        <v>3384.375</v>
      </c>
      <c r="E66" s="36">
        <f>Q66</f>
        <v>3384.375</v>
      </c>
      <c r="F66" s="36">
        <f>R66</f>
        <v>27075</v>
      </c>
      <c r="G66" s="36">
        <f>S66</f>
        <v>27075</v>
      </c>
      <c r="H66" s="36">
        <f>T66</f>
        <v>23690.625</v>
      </c>
      <c r="I66" s="36">
        <f>U66</f>
        <v>23690.625</v>
      </c>
      <c r="J66" s="36">
        <f>V66</f>
        <v>3384.375</v>
      </c>
      <c r="K66" s="36">
        <f>W66</f>
        <v>3384.375</v>
      </c>
      <c r="L66" s="36">
        <f>X66</f>
        <v>27075</v>
      </c>
      <c r="M66" s="36">
        <f>Y66</f>
        <v>27075</v>
      </c>
      <c r="N66" s="46">
        <f>SUM(N67:N71)</f>
        <v>23690.625</v>
      </c>
      <c r="O66" s="46">
        <f>SUM(O67:O71)</f>
        <v>23690.625</v>
      </c>
      <c r="P66" s="46">
        <f>SUM(P67:P71)</f>
        <v>3384.375</v>
      </c>
      <c r="Q66" s="46">
        <f>SUM(Q67:Q71)</f>
        <v>3384.375</v>
      </c>
      <c r="R66" s="46">
        <f>SUM(R67:R71)</f>
        <v>27075</v>
      </c>
      <c r="S66" s="46">
        <f>SUM(S67:S71)</f>
        <v>27075</v>
      </c>
      <c r="T66" s="46">
        <f>SUM(T67:T71)</f>
        <v>23690.625</v>
      </c>
      <c r="U66" s="46">
        <f>SUM(U67:U71)</f>
        <v>23690.625</v>
      </c>
      <c r="V66" s="46">
        <f>SUM(V67:V71)</f>
        <v>3384.375</v>
      </c>
      <c r="W66" s="46">
        <f>SUM(W67:W71)</f>
        <v>3384.375</v>
      </c>
      <c r="X66" s="46">
        <f>SUM(X67:X71)</f>
        <v>27075</v>
      </c>
      <c r="Y66" s="46">
        <f>SUM(Y67:Y71)</f>
        <v>27075</v>
      </c>
      <c r="Z66" s="46">
        <f>SUMIF($B$13:$Y$13,"Yes",B66:Y66)</f>
        <v>240290.625</v>
      </c>
      <c r="AA66" s="46">
        <f>SUM(B66:M66)</f>
        <v>216600</v>
      </c>
      <c r="AB66" s="46">
        <f>SUM(B66:Y66)</f>
        <v>433200</v>
      </c>
    </row>
    <row r="67" spans="1:30" hidden="true" outlineLevel="1">
      <c r="A67" s="181" t="str">
        <f>Calculations!$A$4</f>
        <v>Tomatoes</v>
      </c>
      <c r="B67" s="36">
        <f>N67</f>
        <v>23690.625</v>
      </c>
      <c r="C67" s="36">
        <f>O67</f>
        <v>23690.625</v>
      </c>
      <c r="D67" s="36">
        <f>P67</f>
        <v>0</v>
      </c>
      <c r="E67" s="36">
        <f>Q67</f>
        <v>0</v>
      </c>
      <c r="F67" s="36">
        <f>R67</f>
        <v>23690.625</v>
      </c>
      <c r="G67" s="36">
        <f>S67</f>
        <v>23690.625</v>
      </c>
      <c r="H67" s="36">
        <f>T67</f>
        <v>23690.625</v>
      </c>
      <c r="I67" s="36">
        <f>U67</f>
        <v>23690.625</v>
      </c>
      <c r="J67" s="36">
        <f>V67</f>
        <v>0</v>
      </c>
      <c r="K67" s="36">
        <f>W67</f>
        <v>0</v>
      </c>
      <c r="L67" s="36">
        <f>X67</f>
        <v>23690.625</v>
      </c>
      <c r="M67" s="36">
        <f>Y67</f>
        <v>23690.625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23690.625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23690.625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23690.625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23690.625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23690.625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23690.625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23690.625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23690.625</v>
      </c>
      <c r="Z67" s="46">
        <f>SUMIF($B$13:$Y$13,"Yes",B67:Y67)</f>
        <v>213215.625</v>
      </c>
      <c r="AA67" s="46">
        <f>SUM(B67:M67)</f>
        <v>189525</v>
      </c>
      <c r="AB67" s="46">
        <f>SUM(B67:Y67)</f>
        <v>379050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0</v>
      </c>
      <c r="D68" s="36">
        <f>P68</f>
        <v>3384.375</v>
      </c>
      <c r="E68" s="36">
        <f>Q68</f>
        <v>3384.375</v>
      </c>
      <c r="F68" s="36">
        <f>R68</f>
        <v>3384.375</v>
      </c>
      <c r="G68" s="36">
        <f>S68</f>
        <v>3384.375</v>
      </c>
      <c r="H68" s="36">
        <f>T68</f>
        <v>0</v>
      </c>
      <c r="I68" s="36">
        <f>U68</f>
        <v>0</v>
      </c>
      <c r="J68" s="36">
        <f>V68</f>
        <v>3384.375</v>
      </c>
      <c r="K68" s="36">
        <f>W68</f>
        <v>3384.375</v>
      </c>
      <c r="L68" s="36">
        <f>X68</f>
        <v>3384.375</v>
      </c>
      <c r="M68" s="36">
        <f>Y68</f>
        <v>3384.375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3384.375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3384.375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3384.375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3384.375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3384.375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3384.375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3384.375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3384.375</v>
      </c>
      <c r="Z68" s="46">
        <f>SUMIF($B$13:$Y$13,"Yes",B68:Y68)</f>
        <v>27075</v>
      </c>
      <c r="AA68" s="46">
        <f>SUM(B68:M68)</f>
        <v>27075</v>
      </c>
      <c r="AB68" s="46">
        <f>SUM(B68:Y68)</f>
        <v>54150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50000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50000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50000</v>
      </c>
      <c r="AA72" s="46">
        <f>SUM(B72:M72)</f>
        <v>50000</v>
      </c>
      <c r="AB72" s="46">
        <f>SUM(B72:Y72)</f>
        <v>100000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85000</v>
      </c>
      <c r="C79" s="46">
        <f>Inputs!$B$31</f>
        <v>85000</v>
      </c>
      <c r="D79" s="46">
        <f>Inputs!$B$31</f>
        <v>85000</v>
      </c>
      <c r="E79" s="46">
        <f>Inputs!$B$31</f>
        <v>85000</v>
      </c>
      <c r="F79" s="46">
        <f>Inputs!$B$31</f>
        <v>85000</v>
      </c>
      <c r="G79" s="46">
        <f>Inputs!$B$31</f>
        <v>85000</v>
      </c>
      <c r="H79" s="46">
        <f>Inputs!$B$31</f>
        <v>85000</v>
      </c>
      <c r="I79" s="46">
        <f>Inputs!$B$31</f>
        <v>85000</v>
      </c>
      <c r="J79" s="46">
        <f>Inputs!$B$31</f>
        <v>85000</v>
      </c>
      <c r="K79" s="46">
        <f>Inputs!$B$31</f>
        <v>85000</v>
      </c>
      <c r="L79" s="46">
        <f>Inputs!$B$31</f>
        <v>85000</v>
      </c>
      <c r="M79" s="46">
        <f>Inputs!$B$31</f>
        <v>85000</v>
      </c>
      <c r="N79" s="46">
        <f>Inputs!$B$31</f>
        <v>85000</v>
      </c>
      <c r="O79" s="46">
        <f>Inputs!$B$31</f>
        <v>85000</v>
      </c>
      <c r="P79" s="46">
        <f>Inputs!$B$31</f>
        <v>85000</v>
      </c>
      <c r="Q79" s="46">
        <f>Inputs!$B$31</f>
        <v>85000</v>
      </c>
      <c r="R79" s="46">
        <f>Inputs!$B$31</f>
        <v>85000</v>
      </c>
      <c r="S79" s="46">
        <f>Inputs!$B$31</f>
        <v>85000</v>
      </c>
      <c r="T79" s="46">
        <f>Inputs!$B$31</f>
        <v>85000</v>
      </c>
      <c r="U79" s="46">
        <f>Inputs!$B$31</f>
        <v>85000</v>
      </c>
      <c r="V79" s="46">
        <f>Inputs!$B$31</f>
        <v>85000</v>
      </c>
      <c r="W79" s="46">
        <f>Inputs!$B$31</f>
        <v>85000</v>
      </c>
      <c r="X79" s="46">
        <f>Inputs!$B$31</f>
        <v>85000</v>
      </c>
      <c r="Y79" s="46">
        <f>Inputs!$B$31</f>
        <v>85000</v>
      </c>
      <c r="Z79" s="46">
        <f>SUMIF($B$13:$Y$13,"Yes",B79:Y79)</f>
        <v>1105000</v>
      </c>
      <c r="AA79" s="46">
        <f>SUM(B79:M79)</f>
        <v>1020000</v>
      </c>
      <c r="AB79" s="46">
        <f>SUM(B79:Y79)</f>
        <v>2040000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47126.42487806387</v>
      </c>
      <c r="C81" s="46">
        <f>(SUM($AA$18:$AA$29)-SUM($AA$36,$AA$42,$AA$48,$AA$54,$AA$60,$AA$66,$AA$72:$AA$79))*Parameters!$B$37/12</f>
        <v>47126.42487806387</v>
      </c>
      <c r="D81" s="46">
        <f>(SUM($AA$18:$AA$29)-SUM($AA$36,$AA$42,$AA$48,$AA$54,$AA$60,$AA$66,$AA$72:$AA$79))*Parameters!$B$37/12</f>
        <v>47126.42487806387</v>
      </c>
      <c r="E81" s="46">
        <f>(SUM($AA$18:$AA$29)-SUM($AA$36,$AA$42,$AA$48,$AA$54,$AA$60,$AA$66,$AA$72:$AA$79))*Parameters!$B$37/12</f>
        <v>47126.42487806387</v>
      </c>
      <c r="F81" s="46">
        <f>(SUM($AA$18:$AA$29)-SUM($AA$36,$AA$42,$AA$48,$AA$54,$AA$60,$AA$66,$AA$72:$AA$79))*Parameters!$B$37/12</f>
        <v>47126.42487806387</v>
      </c>
      <c r="G81" s="46">
        <f>(SUM($AA$18:$AA$29)-SUM($AA$36,$AA$42,$AA$48,$AA$54,$AA$60,$AA$66,$AA$72:$AA$79))*Parameters!$B$37/12</f>
        <v>47126.42487806387</v>
      </c>
      <c r="H81" s="46">
        <f>(SUM($AA$18:$AA$29)-SUM($AA$36,$AA$42,$AA$48,$AA$54,$AA$60,$AA$66,$AA$72:$AA$79))*Parameters!$B$37/12</f>
        <v>47126.42487806387</v>
      </c>
      <c r="I81" s="46">
        <f>(SUM($AA$18:$AA$29)-SUM($AA$36,$AA$42,$AA$48,$AA$54,$AA$60,$AA$66,$AA$72:$AA$79))*Parameters!$B$37/12</f>
        <v>47126.42487806387</v>
      </c>
      <c r="J81" s="46">
        <f>(SUM($AA$18:$AA$29)-SUM($AA$36,$AA$42,$AA$48,$AA$54,$AA$60,$AA$66,$AA$72:$AA$79))*Parameters!$B$37/12</f>
        <v>47126.42487806387</v>
      </c>
      <c r="K81" s="46">
        <f>(SUM($AA$18:$AA$29)-SUM($AA$36,$AA$42,$AA$48,$AA$54,$AA$60,$AA$66,$AA$72:$AA$79))*Parameters!$B$37/12</f>
        <v>47126.42487806387</v>
      </c>
      <c r="L81" s="46">
        <f>(SUM($AA$18:$AA$29)-SUM($AA$36,$AA$42,$AA$48,$AA$54,$AA$60,$AA$66,$AA$72:$AA$79))*Parameters!$B$37/12</f>
        <v>47126.42487806387</v>
      </c>
      <c r="M81" s="46">
        <f>(SUM($AA$18:$AA$29)-SUM($AA$36,$AA$42,$AA$48,$AA$54,$AA$60,$AA$66,$AA$72:$AA$79))*Parameters!$B$37/12</f>
        <v>47126.42487806387</v>
      </c>
      <c r="N81" s="46">
        <f>(SUM($AA$18:$AA$29)-SUM($AA$36,$AA$42,$AA$48,$AA$54,$AA$60,$AA$66,$AA$72:$AA$79))*Parameters!$B$37/12</f>
        <v>47126.42487806387</v>
      </c>
      <c r="O81" s="46">
        <f>(SUM($AA$18:$AA$29)-SUM($AA$36,$AA$42,$AA$48,$AA$54,$AA$60,$AA$66,$AA$72:$AA$79))*Parameters!$B$37/12</f>
        <v>47126.42487806387</v>
      </c>
      <c r="P81" s="46">
        <f>(SUM($AA$18:$AA$29)-SUM($AA$36,$AA$42,$AA$48,$AA$54,$AA$60,$AA$66,$AA$72:$AA$79))*Parameters!$B$37/12</f>
        <v>47126.42487806387</v>
      </c>
      <c r="Q81" s="46">
        <f>(SUM($AA$18:$AA$29)-SUM($AA$36,$AA$42,$AA$48,$AA$54,$AA$60,$AA$66,$AA$72:$AA$79))*Parameters!$B$37/12</f>
        <v>47126.42487806387</v>
      </c>
      <c r="R81" s="46">
        <f>(SUM($AA$18:$AA$29)-SUM($AA$36,$AA$42,$AA$48,$AA$54,$AA$60,$AA$66,$AA$72:$AA$79))*Parameters!$B$37/12</f>
        <v>47126.42487806387</v>
      </c>
      <c r="S81" s="46">
        <f>(SUM($AA$18:$AA$29)-SUM($AA$36,$AA$42,$AA$48,$AA$54,$AA$60,$AA$66,$AA$72:$AA$79))*Parameters!$B$37/12</f>
        <v>47126.42487806387</v>
      </c>
      <c r="T81" s="46">
        <f>(SUM($AA$18:$AA$29)-SUM($AA$36,$AA$42,$AA$48,$AA$54,$AA$60,$AA$66,$AA$72:$AA$79))*Parameters!$B$37/12</f>
        <v>47126.42487806387</v>
      </c>
      <c r="U81" s="46">
        <f>(SUM($AA$18:$AA$29)-SUM($AA$36,$AA$42,$AA$48,$AA$54,$AA$60,$AA$66,$AA$72:$AA$79))*Parameters!$B$37/12</f>
        <v>47126.42487806387</v>
      </c>
      <c r="V81" s="46">
        <f>(SUM($AA$18:$AA$29)-SUM($AA$36,$AA$42,$AA$48,$AA$54,$AA$60,$AA$66,$AA$72:$AA$79))*Parameters!$B$37/12</f>
        <v>47126.42487806387</v>
      </c>
      <c r="W81" s="46">
        <f>(SUM($AA$18:$AA$29)-SUM($AA$36,$AA$42,$AA$48,$AA$54,$AA$60,$AA$66,$AA$72:$AA$79))*Parameters!$B$37/12</f>
        <v>47126.42487806387</v>
      </c>
      <c r="X81" s="46">
        <f>(SUM($AA$18:$AA$29)-SUM($AA$36,$AA$42,$AA$48,$AA$54,$AA$60,$AA$66,$AA$72:$AA$79))*Parameters!$B$37/12</f>
        <v>47126.42487806387</v>
      </c>
      <c r="Y81" s="46">
        <f>(SUM($AA$18:$AA$29)-SUM($AA$36,$AA$42,$AA$48,$AA$54,$AA$60,$AA$66,$AA$72:$AA$79))*Parameters!$B$37/12</f>
        <v>47126.42487806387</v>
      </c>
      <c r="Z81" s="46">
        <f>SUMIF($B$13:$Y$13,"Yes",B81:Y81)</f>
        <v>612643.5234148301</v>
      </c>
      <c r="AA81" s="46">
        <f>SUM(B81:M81)</f>
        <v>565517.0985367663</v>
      </c>
      <c r="AB81" s="46">
        <f>SUM(B81:Y81)</f>
        <v>1131034.197073533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173817.0498780639</v>
      </c>
      <c r="C88" s="19">
        <f>SUM(C72:C82,C66,C60,C54,C48,C42,C36)</f>
        <v>160317.0498780639</v>
      </c>
      <c r="D88" s="19">
        <f>SUM(D72:D82,D66,D60,D54,D48,D42,D36)</f>
        <v>140116.7998780639</v>
      </c>
      <c r="E88" s="19">
        <f>SUM(E72:E82,E66,E60,E54,E48,E42,E36)</f>
        <v>137510.7998780639</v>
      </c>
      <c r="F88" s="19">
        <f>SUM(F72:F82,F66,F60,F54,F48,F42,F36)</f>
        <v>176751.4248780639</v>
      </c>
      <c r="G88" s="19">
        <f>SUM(G72:G82,G66,G60,G54,G48,G42,G36)</f>
        <v>165701.4248780639</v>
      </c>
      <c r="H88" s="19">
        <f>SUM(H72:H82,H66,H60,H54,H48,H42,H36)</f>
        <v>173817.0498780639</v>
      </c>
      <c r="I88" s="19">
        <f>SUM(I72:I82,I66,I60,I54,I48,I42,I36)</f>
        <v>160317.0498780639</v>
      </c>
      <c r="J88" s="19">
        <f>SUM(J72:J82,J66,J60,J54,J48,J42,J36)</f>
        <v>140116.7998780639</v>
      </c>
      <c r="K88" s="19">
        <f>SUM(K72:K82,K66,K60,K54,K48,K42,K36)</f>
        <v>137510.7998780639</v>
      </c>
      <c r="L88" s="19">
        <f>SUM(L72:L82,L66,L60,L54,L48,L42,L36)</f>
        <v>228751.4248780639</v>
      </c>
      <c r="M88" s="19">
        <f>SUM(M72:M82,M66,M60,M54,M48,M42,M36)</f>
        <v>165701.4248780639</v>
      </c>
      <c r="N88" s="19">
        <f>SUM(N72:N82,N66,N60,N54,N48,N42,N36)</f>
        <v>173817.0498780639</v>
      </c>
      <c r="O88" s="19">
        <f>SUM(O72:O82,O66,O60,O54,O48,O42,O36)</f>
        <v>160317.0498780639</v>
      </c>
      <c r="P88" s="19">
        <f>SUM(P72:P82,P66,P60,P54,P48,P42,P36)</f>
        <v>140116.7998780639</v>
      </c>
      <c r="Q88" s="19">
        <f>SUM(Q72:Q82,Q66,Q60,Q54,Q48,Q42,Q36)</f>
        <v>137510.7998780639</v>
      </c>
      <c r="R88" s="19">
        <f>SUM(R72:R82,R66,R60,R54,R48,R42,R36)</f>
        <v>176751.4248780639</v>
      </c>
      <c r="S88" s="19">
        <f>SUM(S72:S82,S66,S60,S54,S48,S42,S36)</f>
        <v>165701.4248780639</v>
      </c>
      <c r="T88" s="19">
        <f>SUM(T72:T82,T66,T60,T54,T48,T42,T36)</f>
        <v>173817.0498780639</v>
      </c>
      <c r="U88" s="19">
        <f>SUM(U72:U82,U66,U60,U54,U48,U42,U36)</f>
        <v>160317.0498780639</v>
      </c>
      <c r="V88" s="19">
        <f>SUM(V72:V82,V66,V60,V54,V48,V42,V36)</f>
        <v>140116.7998780639</v>
      </c>
      <c r="W88" s="19">
        <f>SUM(W72:W82,W66,W60,W54,W48,W42,W36)</f>
        <v>137510.7998780639</v>
      </c>
      <c r="X88" s="19">
        <f>SUM(X72:X82,X66,X60,X54,X48,X42,X36)</f>
        <v>228751.4248780639</v>
      </c>
      <c r="Y88" s="19">
        <f>SUM(Y72:Y82,Y66,Y60,Y54,Y48,Y42,Y36)</f>
        <v>165701.4248780639</v>
      </c>
      <c r="Z88" s="19">
        <f>SUMIF($B$13:$Y$13,"Yes",B88:Y88)</f>
        <v>2134246.14841483</v>
      </c>
      <c r="AA88" s="19">
        <f>SUM(B88:M88)</f>
        <v>1960429.098536766</v>
      </c>
      <c r="AB88" s="19">
        <f>SUM(B88:Y88)</f>
        <v>3920858.197073535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3780000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130000</v>
      </c>
    </row>
    <row r="31" spans="1:48">
      <c r="A31" s="5" t="s">
        <v>118</v>
      </c>
      <c r="B31" s="158">
        <v>85000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126</v>
      </c>
    </row>
    <row r="41" spans="1:48">
      <c r="A41" s="55" t="s">
        <v>127</v>
      </c>
      <c r="B41" s="140">
        <v>50000</v>
      </c>
    </row>
    <row r="42" spans="1:48">
      <c r="A42" s="55" t="s">
        <v>128</v>
      </c>
      <c r="B42" s="139" t="s">
        <v>98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350000</v>
      </c>
    </row>
    <row r="46" spans="1:48" customHeight="1" ht="30">
      <c r="A46" s="57" t="s">
        <v>133</v>
      </c>
      <c r="B46" s="161">
        <v>250000</v>
      </c>
    </row>
    <row r="47" spans="1:48" customHeight="1" ht="30">
      <c r="A47" s="57" t="s">
        <v>134</v>
      </c>
      <c r="B47" s="161">
        <v>150000</v>
      </c>
    </row>
    <row r="48" spans="1:48" customHeight="1" ht="30">
      <c r="A48" s="57" t="s">
        <v>135</v>
      </c>
      <c r="B48" s="161">
        <v>3000000</v>
      </c>
    </row>
    <row r="49" spans="1:48" customHeight="1" ht="30">
      <c r="A49" s="57" t="s">
        <v>136</v>
      </c>
      <c r="B49" s="161">
        <v>30000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84442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1060</v>
      </c>
      <c r="B57" s="157">
        <v>0</v>
      </c>
      <c r="C57" s="164" t="s">
        <v>148</v>
      </c>
      <c r="D57" s="165" t="s">
        <v>146</v>
      </c>
      <c r="E57" s="165" t="s">
        <v>126</v>
      </c>
      <c r="F57" s="165" t="s">
        <v>149</v>
      </c>
    </row>
    <row r="58" spans="1:48">
      <c r="A58" s="157">
        <v>3000</v>
      </c>
      <c r="B58" s="157">
        <v>0</v>
      </c>
      <c r="C58" s="164" t="s">
        <v>150</v>
      </c>
      <c r="D58" s="165"/>
      <c r="E58" s="165" t="s">
        <v>126</v>
      </c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152</v>
      </c>
      <c r="C65" s="10" t="s">
        <v>153</v>
      </c>
    </row>
    <row r="66" spans="1:48">
      <c r="A66" s="142" t="s">
        <v>154</v>
      </c>
      <c r="B66" s="159">
        <v>160050</v>
      </c>
      <c r="C66" s="163">
        <v>151696</v>
      </c>
      <c r="D66" s="49">
        <f>INDEX(Parameters!$D$79:$D$90,MATCH(Inputs!A66,Parameters!$C$79:$C$90,0))</f>
        <v>2</v>
      </c>
    </row>
    <row r="67" spans="1:48">
      <c r="A67" s="143" t="s">
        <v>98</v>
      </c>
      <c r="B67" s="157">
        <v>210334</v>
      </c>
      <c r="C67" s="165">
        <v>184924</v>
      </c>
      <c r="D67" s="49">
        <f>INDEX(Parameters!$D$79:$D$90,MATCH(Inputs!A67,Parameters!$C$79:$C$90,0))</f>
        <v>1</v>
      </c>
    </row>
    <row r="68" spans="1:48">
      <c r="A68" s="143" t="s">
        <v>155</v>
      </c>
      <c r="B68" s="157">
        <v>289905</v>
      </c>
      <c r="C68" s="165">
        <v>271181</v>
      </c>
      <c r="D68" s="49">
        <f>INDEX(Parameters!$D$79:$D$90,MATCH(Inputs!A68,Parameters!$C$79:$C$90,0))</f>
        <v>12</v>
      </c>
    </row>
    <row r="69" spans="1:48">
      <c r="A69" s="143" t="s">
        <v>156</v>
      </c>
      <c r="B69" s="157">
        <v>287750</v>
      </c>
      <c r="C69" s="165">
        <v>255708</v>
      </c>
      <c r="D69" s="49">
        <f>INDEX(Parameters!$D$79:$D$90,MATCH(Inputs!A69,Parameters!$C$79:$C$90,0))</f>
        <v>11</v>
      </c>
    </row>
    <row r="70" spans="1:48">
      <c r="A70" s="143" t="s">
        <v>157</v>
      </c>
      <c r="B70" s="157">
        <v>200250</v>
      </c>
      <c r="C70" s="165">
        <v>170470</v>
      </c>
      <c r="D70" s="49">
        <f>INDEX(Parameters!$D$79:$D$90,MATCH(Inputs!A70,Parameters!$C$79:$C$90,0))</f>
        <v>10</v>
      </c>
    </row>
    <row r="71" spans="1:48">
      <c r="A71" s="144" t="s">
        <v>158</v>
      </c>
      <c r="B71" s="158">
        <v>147230</v>
      </c>
      <c r="C71" s="167">
        <v>123060</v>
      </c>
      <c r="D71" s="49">
        <f>INDEX(Parameters!$D$79:$D$90,MATCH(Inputs!A71,Parameters!$C$79:$C$90,0))</f>
        <v>9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300000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42917</v>
      </c>
      <c r="C4" s="38">
        <f>IFERROR(DATE(YEAR(B4),MONTH(B4)+ROUND(T4/2,0),DAY(B4)),B4)</f>
        <v>42979</v>
      </c>
      <c r="D4" s="38">
        <f>IFERROR(DATE(YEAR(B4),MONTH(B4)+T4,DAY(B4)),"")</f>
        <v>43009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43160</v>
      </c>
      <c r="G4" s="38">
        <f>IFERROR(IF($S4=0,"",IF($S4=2,DATE(YEAR(D4),MONTH(D4)+6,DAY(D4)),IF($S4=1,D4,""))),"")</f>
        <v>43191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15168.46161295995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1008702.697261836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2250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13500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99750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42856</v>
      </c>
      <c r="C5" s="39">
        <f>IFERROR(DATE(YEAR(B5),MONTH(B5)+ROUND(T5/2,0),DAY(B5)),B5)</f>
        <v>42917</v>
      </c>
      <c r="D5" s="39">
        <f>IFERROR(DATE(YEAR(B5),MONTH(B5)+T5,DAY(B5)),"")</f>
        <v>42948</v>
      </c>
      <c r="E5" s="39">
        <f>IFERROR(IF($S5=0,"",IF($S5=2,DATE(YEAR(B5),MONTH(B5)+6,DAY(B5)),IF($S5=1,B5,""))),"")</f>
        <v>43040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43132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9022.633424063135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240002.0490800794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8000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14250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84442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1060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42846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42826</v>
      </c>
      <c r="F33" t="s">
        <v>164</v>
      </c>
      <c r="G33" s="128">
        <f>IF(Inputs!B79="","",DATE(YEAR(Inputs!B79),MONTH(Inputs!B79),DAY(Inputs!B79)))</f>
        <v>42815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42876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42856</v>
      </c>
      <c r="F34" t="s">
        <v>165</v>
      </c>
      <c r="G34" s="128">
        <f>IF(Inputs!B80="","",DATE(YEAR(Inputs!B80),MONTH(Inputs!B80),DAY(Inputs!B80)))</f>
        <v>42846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42907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42887</v>
      </c>
      <c r="F35" t="s">
        <v>167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42937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42917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42968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42948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42999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42979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43029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43009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43060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43040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43090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43070</v>
      </c>
      <c r="F41" t="s">
        <v>231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43121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43101</v>
      </c>
      <c r="F42" t="s">
        <v>232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43152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43180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205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100</v>
      </c>
      <c r="B41" s="191" t="s">
        <v>126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317</v>
      </c>
      <c r="H52" s="12" t="s">
        <v>130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233</v>
      </c>
      <c r="E53" s="10" t="s">
        <v>192</v>
      </c>
      <c r="F53" s="10" t="s">
        <v>252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126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126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126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126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126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126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126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170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229</v>
      </c>
      <c r="J76" s="11" t="s">
        <v>351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126</v>
      </c>
      <c r="F77" s="12" t="s">
        <v>126</v>
      </c>
      <c r="G77" s="12" t="s">
        <v>353</v>
      </c>
      <c r="H77" s="12" t="s">
        <v>130</v>
      </c>
      <c r="I77" s="12" t="s">
        <v>354</v>
      </c>
      <c r="J77" s="136" t="s">
        <v>355</v>
      </c>
      <c r="K77" s="12" t="s">
        <v>126</v>
      </c>
      <c r="AJ77" s="12"/>
    </row>
    <row r="78" spans="1:36">
      <c r="A78" t="s">
        <v>126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358</v>
      </c>
      <c r="H78" s="12" t="s">
        <v>318</v>
      </c>
      <c r="I78" s="12" t="s">
        <v>359</v>
      </c>
      <c r="J78" s="70" t="s">
        <v>360</v>
      </c>
      <c r="K78" s="12" t="s">
        <v>126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170</v>
      </c>
      <c r="J79" s="70" t="s">
        <v>364</v>
      </c>
      <c r="K79" s="12" t="s">
        <v>126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96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