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<sst xmlns="http://schemas.openxmlformats.org/spreadsheetml/2006/main" uniqueCount="368">
  <si>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</si>
  <si>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</si>
  <si>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</si>
  <si>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</si>
  <si>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</si>
  <si>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</si>
  <si>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</si>
  <si>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</si>
  <si>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</si>
  <si>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</si>
  <si>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</si>
  <si>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</si>
  <si>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</si>
  <si>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</si>
  <si>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</si>
  <si>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</si>
  <si>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</si>
  <si>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</si>
  <si>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</si>
  <si>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</si>
  <si>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</si>
  <si>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</si>
  <si>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</si>
  <si>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</si>
  <si>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</si>
  <si>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</si>
  <si>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</si>
  <si>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</si>
  <si>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</si>
  <si>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</si>
  <si>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</si>
  <si>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</si>
  <si>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</si>
  <si>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</si>
  <si>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</si>
  <si>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</si>
  <si>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</si>
  <si>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</si>
  <si>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</si>
  <si>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</si>
  <si>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</si>
  <si>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</si>
  <si>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</si>
  <si>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</si>
  <si>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</si>
  <si>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</si>
  <si>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</si>
  <si>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</si>
  <si>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</si>
  <si>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</si>
  <si>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</si>
  <si>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</si>
  <si>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</si>
  <si>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</si>
  <si>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</si>
  <si>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</si>
  <si>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</si>
  <si>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</si>
  <si>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</si>
  <si>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</si>
  <si>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</si>
  <si>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</si>
  <si>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</si>
  <si>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</si>
  <si>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</si>
  <si>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</si>
  <si>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</si>
  <si>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</si>
  <si>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</si>
  <si>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</si>
  <si>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</si>
  <si>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</si>
  <si>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</si>
  <si>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</si>
  <si>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</si>
  <si>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</si>
  <si>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</si>
  <si>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</si>
  <si>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</si>
  <si>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</si>
  <si>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</si>
  <si>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</si>
  <si>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</si>
  <si>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</si>
  <si>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</si>
  <si>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</si>
  <si>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</si>
  <si>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</si>
  <si>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</si>
  <si>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</si>
  <si>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</si>
  <si>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</si>
  <si>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</si>
  <si>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using a diesel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</si>
  <si>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</si>
  <si>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</si>
  <si>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</si>
  <si>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</si>
  <si>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</si>
  <si>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</si>
  <si>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</si>
  <si>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</si>
  <si>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</si>
  <si>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</si>
  <si>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</si>
  <si>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</si>
  <si>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</si>
  <si>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</si>
  <si>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</si>
  <si>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</si>
  <si>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</si>
  <si>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</si>
  <si>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</si>
  <si>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</si>
  <si>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</si>
  <si>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</si>
  <si>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</si>
  <si>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</si>
  <si>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</si>
  <si>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</si>
  <si>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</si>
  <si>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</si>
  <si>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</si>
  <si>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</si>
  <si>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</si>
  <si>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June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</si>
  <si>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</si>
  <si>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</si>
  <si>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</si>
  <si>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</si>
  <si>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</si>
  <si>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</si>
  <si>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</si>
  <si>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</si>
  <si>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</si>
  <si>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</si>
  <si>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</si>
  <si>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</si>
  <si>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</si>
  <si>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</si>
  <si>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</si>
  <si>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</si>
  <si>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10/27/2016</t>
  </si>
  <si>
    <t>sidian bank</t>
  </si>
  <si>
    <t>he was informed clearly his rrpament date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</si>
  <si>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</si>
  <si>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</si>
  <si>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</si>
  <si>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</si>
  <si>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</si>
  <si>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</si>
  <si>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</si>
  <si>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</si>
  <si>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</si>
  <si>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</si>
  <si>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</si>
  <si>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</si>
  <si>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2017/3/23</t>
  </si>
  <si>
    <t>Loan terms</t>
  </si>
  <si>
    <t>Expected disbursement date</t>
  </si>
  <si>
    <t>Expected first repayment date</t>
  </si>
  <si>
    <t>2017/4/1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</si>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</sst>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0.7700217572978226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0.4174757281553398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17638.88888888889</v>
      </c>
    </row>
    <row r="17" spans="1:7">
      <c r="B17" s="1" t="s">
        <v>11</v>
      </c>
      <c r="C17" s="36">
        <f>SUM(Output!B6:M6)</f>
        <v>140621.6186771868</v>
      </c>
    </row>
    <row r="18" spans="1:7">
      <c r="B18" s="1" t="s">
        <v>12</v>
      </c>
      <c r="C18" s="36">
        <f>MIN(Output!B6:M6)</f>
        <v>-51606.41645712261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96142.89162420655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-18606.41645712263</v>
      </c>
      <c r="C6" s="51">
        <f>C30-C88</f>
        <v>8393.583542877375</v>
      </c>
      <c r="D6" s="51">
        <f>D30-D88</f>
        <v>-9606.416457122628</v>
      </c>
      <c r="E6" s="51">
        <f>E30-E88</f>
        <v>-51606.41645712261</v>
      </c>
      <c r="F6" s="51">
        <f>F30-F88</f>
        <v>96142.89162420655</v>
      </c>
      <c r="G6" s="51">
        <f>G30-G88</f>
        <v>15593.58354287738</v>
      </c>
      <c r="H6" s="51">
        <f>H30-H88</f>
        <v>-18606.41645712263</v>
      </c>
      <c r="I6" s="51">
        <f>I30-I88</f>
        <v>8393.583542877375</v>
      </c>
      <c r="J6" s="51">
        <f>J30-J88</f>
        <v>-9606.416457122628</v>
      </c>
      <c r="K6" s="51">
        <f>K30-K88</f>
        <v>8393.583542877375</v>
      </c>
      <c r="L6" s="51">
        <f>L30-L88</f>
        <v>96142.89162420655</v>
      </c>
      <c r="M6" s="51">
        <f>M30-M88</f>
        <v>15593.58354287738</v>
      </c>
      <c r="N6" s="51">
        <f>N30-N88</f>
        <v>-18606.41645712263</v>
      </c>
      <c r="O6" s="51">
        <f>O30-O88</f>
        <v>8393.583542877375</v>
      </c>
      <c r="P6" s="51">
        <f>P30-P88</f>
        <v>-9606.416457122628</v>
      </c>
      <c r="Q6" s="51">
        <f>Q30-Q88</f>
        <v>-51606.41645712261</v>
      </c>
      <c r="R6" s="51">
        <f>R30-R88</f>
        <v>96142.89162420655</v>
      </c>
      <c r="S6" s="51">
        <f>S30-S88</f>
        <v>15593.58354287738</v>
      </c>
      <c r="T6" s="51">
        <f>T30-T88</f>
        <v>-18606.41645712263</v>
      </c>
      <c r="U6" s="51">
        <f>U30-U88</f>
        <v>8393.583542877375</v>
      </c>
      <c r="V6" s="51">
        <f>V30-V88</f>
        <v>-9606.416457122628</v>
      </c>
      <c r="W6" s="51">
        <f>W30-W88</f>
        <v>8393.583542877375</v>
      </c>
      <c r="X6" s="51">
        <f>X30-X88</f>
        <v>96142.89162420655</v>
      </c>
      <c r="Y6" s="51">
        <f>Y30-Y88</f>
        <v>15593.58354287738</v>
      </c>
      <c r="Z6" s="51">
        <f>SUMIF($B$13:$Y$13,"Yes",B6:Y6)</f>
        <v>162326.0115586576</v>
      </c>
      <c r="AA6" s="51">
        <f>AA30-AA88</f>
        <v>140621.618677187</v>
      </c>
      <c r="AB6" s="51">
        <f>AB30-AB88</f>
        <v>281243.2373543734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-29206</v>
      </c>
      <c r="I7" s="80">
        <f>IF(ISERROR(VLOOKUP(MONTH(I5),Inputs!$D$66:$D$71,1,0)),"",INDEX(Inputs!$B$66:$B$71,MATCH(MONTH(Output!I5),Inputs!$D$66:$D$71,0))-INDEX(Inputs!$C$66:$C$71,MATCH(MONTH(Output!I5),Inputs!$D$66:$D$71,0)))</f>
        <v>36396</v>
      </c>
      <c r="J7" s="80">
        <f>IF(ISERROR(VLOOKUP(MONTH(J5),Inputs!$D$66:$D$71,1,0)),"",INDEX(Inputs!$B$66:$B$71,MATCH(MONTH(Output!J5),Inputs!$D$66:$D$71,0))-INDEX(Inputs!$C$66:$C$71,MATCH(MONTH(Output!J5),Inputs!$D$66:$D$71,0)))</f>
        <v>153808</v>
      </c>
      <c r="K7" s="80">
        <f>IF(ISERROR(VLOOKUP(MONTH(K5),Inputs!$D$66:$D$71,1,0)),"",INDEX(Inputs!$B$66:$B$71,MATCH(MONTH(Output!K5),Inputs!$D$66:$D$71,0))-INDEX(Inputs!$C$66:$C$71,MATCH(MONTH(Output!K5),Inputs!$D$66:$D$71,0)))</f>
        <v>35049</v>
      </c>
      <c r="L7" s="80">
        <f>IF(ISERROR(VLOOKUP(MONTH(L5),Inputs!$D$66:$D$71,1,0)),"",INDEX(Inputs!$B$66:$B$71,MATCH(MONTH(Output!L5),Inputs!$D$66:$D$71,0))-INDEX(Inputs!$C$66:$C$71,MATCH(MONTH(Output!L5),Inputs!$D$66:$D$71,0)))</f>
        <v>-31753</v>
      </c>
      <c r="M7" s="80">
        <f>IF(ISERROR(VLOOKUP(MONTH(M5),Inputs!$D$66:$D$71,1,0)),"",INDEX(Inputs!$B$66:$B$71,MATCH(MONTH(Output!M5),Inputs!$D$66:$D$71,0))-INDEX(Inputs!$C$66:$C$71,MATCH(MONTH(Output!M5),Inputs!$D$66:$D$71,0)))</f>
        <v>38344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-29206</v>
      </c>
      <c r="U7" s="80">
        <f>IF(ISERROR(VLOOKUP(MONTH(U5),Inputs!$D$66:$D$71,1,0)),"",INDEX(Inputs!$B$66:$B$71,MATCH(MONTH(Output!U5),Inputs!$D$66:$D$71,0))-INDEX(Inputs!$C$66:$C$71,MATCH(MONTH(Output!U5),Inputs!$D$66:$D$71,0)))</f>
        <v>36396</v>
      </c>
      <c r="V7" s="80">
        <f>IF(ISERROR(VLOOKUP(MONTH(V5),Inputs!$D$66:$D$71,1,0)),"",INDEX(Inputs!$B$66:$B$71,MATCH(MONTH(Output!V5),Inputs!$D$66:$D$71,0))-INDEX(Inputs!$C$66:$C$71,MATCH(MONTH(Output!V5),Inputs!$D$66:$D$71,0)))</f>
        <v>153808</v>
      </c>
      <c r="W7" s="80">
        <f>IF(ISERROR(VLOOKUP(MONTH(W5),Inputs!$D$66:$D$71,1,0)),"",INDEX(Inputs!$B$66:$B$71,MATCH(MONTH(Output!W5),Inputs!$D$66:$D$71,0))-INDEX(Inputs!$C$66:$C$71,MATCH(MONTH(Output!W5),Inputs!$D$66:$D$71,0)))</f>
        <v>35049</v>
      </c>
      <c r="X7" s="80">
        <f>IF(ISERROR(VLOOKUP(MONTH(X5),Inputs!$D$66:$D$71,1,0)),"",INDEX(Inputs!$B$66:$B$71,MATCH(MONTH(Output!X5),Inputs!$D$66:$D$71,0))-INDEX(Inputs!$C$66:$C$71,MATCH(MONTH(Output!X5),Inputs!$D$66:$D$71,0)))</f>
        <v>-31753</v>
      </c>
      <c r="Y7" s="80">
        <f>IF(ISERROR(VLOOKUP(MONTH(Y5),Inputs!$D$66:$D$71,1,0)),"",INDEX(Inputs!$B$66:$B$71,MATCH(MONTH(Output!Y5),Inputs!$D$66:$D$71,0))-INDEX(Inputs!$C$66:$C$71,MATCH(MONTH(Output!Y5),Inputs!$D$66:$D$71,0)))</f>
        <v>38344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17638.88888888889</v>
      </c>
      <c r="D10" s="37">
        <f>SUMPRODUCT((Calculations!$D$33:$D$84=Output!D5)+0,Calculations!$C$33:$C$84)</f>
        <v>17638.88888888889</v>
      </c>
      <c r="E10" s="37">
        <f>SUMPRODUCT((Calculations!$D$33:$D$84=Output!E5)+0,Calculations!$C$33:$C$84)</f>
        <v>17638.88888888889</v>
      </c>
      <c r="F10" s="37">
        <f>SUMPRODUCT((Calculations!$D$33:$D$84=Output!F5)+0,Calculations!$C$33:$C$84)</f>
        <v>17638.88888888889</v>
      </c>
      <c r="G10" s="37">
        <f>SUMPRODUCT((Calculations!$D$33:$D$84=Output!G5)+0,Calculations!$C$33:$C$84)</f>
        <v>17638.88888888889</v>
      </c>
      <c r="H10" s="37">
        <f>SUMPRODUCT((Calculations!$D$33:$D$84=Output!H5)+0,Calculations!$C$33:$C$84)</f>
        <v>17638.88888888889</v>
      </c>
      <c r="I10" s="37">
        <f>SUMPRODUCT((Calculations!$D$33:$D$84=Output!I5)+0,Calculations!$C$33:$C$84)</f>
        <v>17638.88888888889</v>
      </c>
      <c r="J10" s="37">
        <f>SUMPRODUCT((Calculations!$D$33:$D$84=Output!J5)+0,Calculations!$C$33:$C$84)</f>
        <v>17638.88888888889</v>
      </c>
      <c r="K10" s="37">
        <f>SUMPRODUCT((Calculations!$D$33:$D$84=Output!K5)+0,Calculations!$C$33:$C$84)</f>
        <v>17638.88888888889</v>
      </c>
      <c r="L10" s="37">
        <f>SUMPRODUCT((Calculations!$D$33:$D$84=Output!L5)+0,Calculations!$C$33:$C$84)</f>
        <v>17638.88888888889</v>
      </c>
      <c r="M10" s="37">
        <f>SUMPRODUCT((Calculations!$D$33:$D$84=Output!M5)+0,Calculations!$C$33:$C$84)</f>
        <v>17638.88888888889</v>
      </c>
      <c r="N10" s="37">
        <f>SUMPRODUCT((Calculations!$D$33:$D$84=Output!N5)+0,Calculations!$C$33:$C$84)</f>
        <v>17638.88888888889</v>
      </c>
      <c r="O10" s="37">
        <f>SUMPRODUCT((Calculations!$D$33:$D$84=Output!O5)+0,Calculations!$C$33:$C$84)</f>
        <v>17638.88888888889</v>
      </c>
      <c r="P10" s="37">
        <f>SUMPRODUCT((Calculations!$D$33:$D$84=Output!P5)+0,Calculations!$C$33:$C$84)</f>
        <v>17638.88888888889</v>
      </c>
      <c r="Q10" s="37">
        <f>SUMPRODUCT((Calculations!$D$33:$D$84=Output!Q5)+0,Calculations!$C$33:$C$84)</f>
        <v>17638.88888888889</v>
      </c>
      <c r="R10" s="37">
        <f>SUMPRODUCT((Calculations!$D$33:$D$84=Output!R5)+0,Calculations!$C$33:$C$84)</f>
        <v>17638.88888888889</v>
      </c>
      <c r="S10" s="37">
        <f>SUMPRODUCT((Calculations!$D$33:$D$84=Output!S5)+0,Calculations!$C$33:$C$84)</f>
        <v>17638.88888888889</v>
      </c>
      <c r="T10" s="37">
        <f>SUMPRODUCT((Calculations!$D$33:$D$84=Output!T5)+0,Calculations!$C$33:$C$84)</f>
        <v>17638.88888888889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317499.9999999999</v>
      </c>
      <c r="AA10" s="37">
        <f>SUM(B10:M10)</f>
        <v>194027.7777777778</v>
      </c>
      <c r="AB10" s="37">
        <f>SUM(B10:Y10)</f>
        <v>317499.9999999999</v>
      </c>
    </row>
    <row r="11" spans="1:30" customHeight="1" ht="15.75">
      <c r="A11" s="43" t="s">
        <v>31</v>
      </c>
      <c r="B11" s="80">
        <f>B6+B9-B10</f>
        <v>231393.5835428774</v>
      </c>
      <c r="C11" s="80">
        <f>C6+C9-C10</f>
        <v>-9245.305346011515</v>
      </c>
      <c r="D11" s="80">
        <f>D6+D9-D10</f>
        <v>-27245.30534601152</v>
      </c>
      <c r="E11" s="80">
        <f>E6+E9-E10</f>
        <v>-69245.3053460115</v>
      </c>
      <c r="F11" s="80">
        <f>F6+F9-F10</f>
        <v>78504.00273531766</v>
      </c>
      <c r="G11" s="80">
        <f>G6+G9-G10</f>
        <v>-2045.305346011515</v>
      </c>
      <c r="H11" s="80">
        <f>H6+H9-H10</f>
        <v>-36245.30534601152</v>
      </c>
      <c r="I11" s="80">
        <f>I6+I9-I10</f>
        <v>-9245.305346011515</v>
      </c>
      <c r="J11" s="80">
        <f>J6+J9-J10</f>
        <v>-27245.30534601152</v>
      </c>
      <c r="K11" s="80">
        <f>K6+K9-K10</f>
        <v>-9245.305346011515</v>
      </c>
      <c r="L11" s="80">
        <f>L6+L9-L10</f>
        <v>78504.00273531766</v>
      </c>
      <c r="M11" s="80">
        <f>M6+M9-M10</f>
        <v>-2045.305346011515</v>
      </c>
      <c r="N11" s="80">
        <f>N6+N9-N10</f>
        <v>-36245.30534601152</v>
      </c>
      <c r="O11" s="80">
        <f>O6+O9-O10</f>
        <v>-9245.305346011515</v>
      </c>
      <c r="P11" s="80">
        <f>P6+P9-P10</f>
        <v>-27245.30534601152</v>
      </c>
      <c r="Q11" s="80">
        <f>Q6+Q9-Q10</f>
        <v>-69245.3053460115</v>
      </c>
      <c r="R11" s="80">
        <f>R6+R9-R10</f>
        <v>78504.00273531766</v>
      </c>
      <c r="S11" s="80">
        <f>S6+S9-S10</f>
        <v>-2045.305346011515</v>
      </c>
      <c r="T11" s="80">
        <f>T6+T9-T10</f>
        <v>-36245.30534601152</v>
      </c>
      <c r="U11" s="80">
        <f>U6+U9-U10</f>
        <v>8393.583542877375</v>
      </c>
      <c r="V11" s="80">
        <f>V6+V9-V10</f>
        <v>-9606.416457122628</v>
      </c>
      <c r="W11" s="80">
        <f>W6+W9-W10</f>
        <v>8393.583542877375</v>
      </c>
      <c r="X11" s="80">
        <f>X6+X9-X10</f>
        <v>96142.89162420655</v>
      </c>
      <c r="Y11" s="80">
        <f>Y6+Y9-Y10</f>
        <v>15593.58354287738</v>
      </c>
      <c r="Z11" s="85">
        <f>SUMIF($B$13:$Y$13,"Yes",B11:Y11)</f>
        <v>94826.01155865766</v>
      </c>
      <c r="AA11" s="80">
        <f>SUM(B11:M11)</f>
        <v>196593.8408994091</v>
      </c>
      <c r="AB11" s="46">
        <f>SUM(B11:Y11)</f>
        <v>213743.2373543737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0.07356060419438844</v>
      </c>
      <c r="D12" s="82">
        <f>IF(D13="Yes",IF(SUM($B$10:D10)/(SUM($B$6:D6)+SUM($B$9:D9))&lt;0,999.99,SUM($B$10:D10)/(SUM($B$6:D6)+SUM($B$9:D9))),"")</f>
        <v>0.1532611987815352</v>
      </c>
      <c r="E12" s="82">
        <f>IF(E13="Yes",IF(SUM($B$10:E10)/(SUM($B$6:E6)+SUM($B$9:E9))&lt;0,999.99,SUM($B$10:E10)/(SUM($B$6:E6)+SUM($B$9:E9))),"")</f>
        <v>0.2963285116653075</v>
      </c>
      <c r="F12" s="82">
        <f>IF(F13="Yes",IF(SUM($B$10:F10)/(SUM($B$6:F6)+SUM($B$9:F9))&lt;0,999.99,SUM($B$10:F10)/(SUM($B$6:F6)+SUM($B$9:F9))),"")</f>
        <v>0.2568297468467513</v>
      </c>
      <c r="G12" s="82">
        <f>IF(G13="Yes",IF(SUM($B$10:G10)/(SUM($B$6:G6)+SUM($B$9:G9))&lt;0,999.99,SUM($B$10:G10)/(SUM($B$6:G6)+SUM($B$9:G9))),"")</f>
        <v>0.3037931816778551</v>
      </c>
      <c r="H12" s="82">
        <f>IF(H13="Yes",IF(SUM($B$10:H10)/(SUM($B$6:H6)+SUM($B$9:H9))&lt;0,999.99,SUM($B$10:H10)/(SUM($B$6:H6)+SUM($B$9:H9))),"")</f>
        <v>0.3895164601902569</v>
      </c>
      <c r="I12" s="82">
        <f>IF(I13="Yes",IF(SUM($B$10:I10)/(SUM($B$6:I6)+SUM($B$9:I9))&lt;0,999.99,SUM($B$10:I10)/(SUM($B$6:I6)+SUM($B$9:I9))),"")</f>
        <v>0.4408179730479806</v>
      </c>
      <c r="J12" s="82">
        <f>IF(J13="Yes",IF(SUM($B$10:J10)/(SUM($B$6:J6)+SUM($B$9:J9))&lt;0,999.99,SUM($B$10:J10)/(SUM($B$6:J6)+SUM($B$9:J9))),"")</f>
        <v>0.521683970946114</v>
      </c>
      <c r="K12" s="82">
        <f>IF(K13="Yes",IF(SUM($B$10:K10)/(SUM($B$6:K6)+SUM($B$9:K9))&lt;0,999.99,SUM($B$10:K10)/(SUM($B$6:K6)+SUM($B$9:K9))),"")</f>
        <v>0.5692307521366734</v>
      </c>
      <c r="L12" s="82">
        <f>IF(L13="Yes",IF(SUM($B$10:L10)/(SUM($B$6:L6)+SUM($B$9:L9))&lt;0,999.99,SUM($B$10:L10)/(SUM($B$6:L6)+SUM($B$9:L9))),"")</f>
        <v>0.4703352079417701</v>
      </c>
      <c r="M12" s="82">
        <f>IF(M13="Yes",IF(SUM($B$10:M10)/(SUM($B$6:M6)+SUM($B$9:M9))&lt;0,999.99,SUM($B$10:M10)/(SUM($B$6:M6)+SUM($B$9:M9))),"")</f>
        <v>0.4967154107722953</v>
      </c>
      <c r="N12" s="82">
        <f>IF(N13="Yes",IF(SUM($B$10:N10)/(SUM($B$6:N6)+SUM($B$9:N9))&lt;0,999.99,SUM($B$10:N10)/(SUM($B$6:N6)+SUM($B$9:N9))),"")</f>
        <v>0.5689731640091847</v>
      </c>
      <c r="O12" s="82">
        <f>IF(O13="Yes",IF(SUM($B$10:O10)/(SUM($B$6:O6)+SUM($B$9:O9))&lt;0,999.99,SUM($B$10:O10)/(SUM($B$6:O6)+SUM($B$9:O9))),"")</f>
        <v>0.6027872229492914</v>
      </c>
      <c r="P12" s="82">
        <f>IF(P13="Yes",IF(SUM($B$10:P10)/(SUM($B$6:P6)+SUM($B$9:P9))&lt;0,999.99,SUM($B$10:P10)/(SUM($B$6:P6)+SUM($B$9:P9))),"")</f>
        <v>0.6659732107611674</v>
      </c>
      <c r="Q12" s="82">
        <f>IF(Q13="Yes",IF(SUM($B$10:Q10)/(SUM($B$6:Q6)+SUM($B$9:Q9))&lt;0,999.99,SUM($B$10:Q10)/(SUM($B$6:Q6)+SUM($B$9:Q9))),"")</f>
        <v>0.82890566428563</v>
      </c>
      <c r="R12" s="82">
        <f>IF(R13="Yes",IF(SUM($B$10:R10)/(SUM($B$6:R6)+SUM($B$9:R9))&lt;0,999.99,SUM($B$10:R10)/(SUM($B$6:R6)+SUM($B$9:R9))),"")</f>
        <v>0.6794987417571885</v>
      </c>
      <c r="S12" s="82">
        <f>IF(S13="Yes",IF(SUM($B$10:S10)/(SUM($B$6:S6)+SUM($B$9:S9))&lt;0,999.99,SUM($B$10:S10)/(SUM($B$6:S6)+SUM($B$9:S9))),"")</f>
        <v>0.6958425303285145</v>
      </c>
      <c r="T12" s="82">
        <f>IF(T13="Yes",IF(SUM($B$10:T10)/(SUM($B$6:T6)+SUM($B$9:T9))&lt;0,999.99,SUM($B$10:T10)/(SUM($B$6:T6)+SUM($B$9:T9))),"")</f>
        <v>0.7700217572978226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87749.30808132917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87749.30808132917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87749.30808132917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87749.30808132917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263247.9242439875</v>
      </c>
      <c r="AA18" s="36">
        <f>SUM(B18:M18)</f>
        <v>175498.6161626583</v>
      </c>
      <c r="AB18" s="36">
        <f>SUM(B18:Y18)</f>
        <v>350997.2323253167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37000</v>
      </c>
      <c r="C29" s="37">
        <f>Inputs!$B$30</f>
        <v>37000</v>
      </c>
      <c r="D29" s="37">
        <f>Inputs!$B$30</f>
        <v>37000</v>
      </c>
      <c r="E29" s="37">
        <f>Inputs!$B$30</f>
        <v>37000</v>
      </c>
      <c r="F29" s="37">
        <f>Inputs!$B$30</f>
        <v>37000</v>
      </c>
      <c r="G29" s="37">
        <f>Inputs!$B$30</f>
        <v>37000</v>
      </c>
      <c r="H29" s="37">
        <f>Inputs!$B$30</f>
        <v>37000</v>
      </c>
      <c r="I29" s="37">
        <f>Inputs!$B$30</f>
        <v>37000</v>
      </c>
      <c r="J29" s="37">
        <f>Inputs!$B$30</f>
        <v>37000</v>
      </c>
      <c r="K29" s="37">
        <f>Inputs!$B$30</f>
        <v>37000</v>
      </c>
      <c r="L29" s="37">
        <f>Inputs!$B$30</f>
        <v>37000</v>
      </c>
      <c r="M29" s="37">
        <f>Inputs!$B$30</f>
        <v>37000</v>
      </c>
      <c r="N29" s="37">
        <f>Inputs!$B$30</f>
        <v>37000</v>
      </c>
      <c r="O29" s="37">
        <f>Inputs!$B$30</f>
        <v>37000</v>
      </c>
      <c r="P29" s="37">
        <f>Inputs!$B$30</f>
        <v>37000</v>
      </c>
      <c r="Q29" s="37">
        <f>Inputs!$B$30</f>
        <v>37000</v>
      </c>
      <c r="R29" s="37">
        <f>Inputs!$B$30</f>
        <v>37000</v>
      </c>
      <c r="S29" s="37">
        <f>Inputs!$B$30</f>
        <v>37000</v>
      </c>
      <c r="T29" s="37">
        <f>Inputs!$B$30</f>
        <v>37000</v>
      </c>
      <c r="U29" s="37">
        <f>Inputs!$B$30</f>
        <v>37000</v>
      </c>
      <c r="V29" s="37">
        <f>Inputs!$B$30</f>
        <v>37000</v>
      </c>
      <c r="W29" s="37">
        <f>Inputs!$B$30</f>
        <v>37000</v>
      </c>
      <c r="X29" s="37">
        <f>Inputs!$B$30</f>
        <v>37000</v>
      </c>
      <c r="Y29" s="37">
        <f>Inputs!$B$30</f>
        <v>37000</v>
      </c>
      <c r="Z29" s="37">
        <f>SUMIF($B$13:$Y$13,"Yes",B29:Y29)</f>
        <v>703000</v>
      </c>
      <c r="AA29" s="37">
        <f>SUM(B29:M29)</f>
        <v>444000</v>
      </c>
      <c r="AB29" s="37">
        <f>SUM(B29:Y29)</f>
        <v>888000</v>
      </c>
    </row>
    <row r="30" spans="1:30" customHeight="1" ht="15.75">
      <c r="A30" s="1" t="s">
        <v>37</v>
      </c>
      <c r="B30" s="19">
        <f>SUM(B18:B29)</f>
        <v>37000</v>
      </c>
      <c r="C30" s="19">
        <f>SUM(C18:C29)</f>
        <v>37000</v>
      </c>
      <c r="D30" s="19">
        <f>SUM(D18:D29)</f>
        <v>37000</v>
      </c>
      <c r="E30" s="19">
        <f>SUM(E18:E29)</f>
        <v>37000</v>
      </c>
      <c r="F30" s="19">
        <f>SUM(F18:F29)</f>
        <v>124749.3080813292</v>
      </c>
      <c r="G30" s="19">
        <f>SUM(G18:G29)</f>
        <v>37000</v>
      </c>
      <c r="H30" s="19">
        <f>SUM(H18:H29)</f>
        <v>37000</v>
      </c>
      <c r="I30" s="19">
        <f>SUM(I18:I29)</f>
        <v>37000</v>
      </c>
      <c r="J30" s="19">
        <f>SUM(J18:J29)</f>
        <v>37000</v>
      </c>
      <c r="K30" s="19">
        <f>SUM(K18:K29)</f>
        <v>37000</v>
      </c>
      <c r="L30" s="19">
        <f>SUM(L18:L29)</f>
        <v>124749.3080813292</v>
      </c>
      <c r="M30" s="19">
        <f>SUM(M18:M29)</f>
        <v>37000</v>
      </c>
      <c r="N30" s="19">
        <f>SUM(N18:N29)</f>
        <v>37000</v>
      </c>
      <c r="O30" s="19">
        <f>SUM(O18:O29)</f>
        <v>37000</v>
      </c>
      <c r="P30" s="19">
        <f>SUM(P18:P29)</f>
        <v>37000</v>
      </c>
      <c r="Q30" s="19">
        <f>SUM(Q18:Q29)</f>
        <v>37000</v>
      </c>
      <c r="R30" s="19">
        <f>SUM(R18:R29)</f>
        <v>124749.3080813292</v>
      </c>
      <c r="S30" s="19">
        <f>SUM(S18:S29)</f>
        <v>37000</v>
      </c>
      <c r="T30" s="19">
        <f>SUM(T18:T29)</f>
        <v>37000</v>
      </c>
      <c r="U30" s="19">
        <f>SUM(U18:U29)</f>
        <v>37000</v>
      </c>
      <c r="V30" s="19">
        <f>SUM(V18:V29)</f>
        <v>37000</v>
      </c>
      <c r="W30" s="19">
        <f>SUM(W18:W29)</f>
        <v>37000</v>
      </c>
      <c r="X30" s="19">
        <f>SUM(X18:X29)</f>
        <v>124749.3080813292</v>
      </c>
      <c r="Y30" s="19">
        <f>SUM(Y18:Y29)</f>
        <v>37000</v>
      </c>
      <c r="Z30" s="19">
        <f>SUMIF($B$13:$Y$13,"Yes",B30:Y30)</f>
        <v>966247.9242439875</v>
      </c>
      <c r="AA30" s="19">
        <f>SUM(B30:M30)</f>
        <v>619498.6161626583</v>
      </c>
      <c r="AB30" s="19">
        <f>SUM(B30:Y30)</f>
        <v>1238997.232325317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12000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12000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12000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12000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48000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Beans</v>
      </c>
      <c r="B37" s="36">
        <f>N37</f>
        <v>12000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12000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48000</v>
      </c>
      <c r="AA37" s="36">
        <f>SUM(B37:M37)</f>
        <v>24000</v>
      </c>
      <c r="AB37" s="36">
        <f>SUM(B37:Y37)</f>
        <v>48000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15000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15000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15000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15000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60000</v>
      </c>
      <c r="AA42" s="36">
        <f>SUM(B42:M42)</f>
        <v>30000</v>
      </c>
      <c r="AB42" s="36">
        <f>SUM(B42:Y42)</f>
        <v>60000</v>
      </c>
    </row>
    <row r="43" spans="1:30" hidden="true" outlineLevel="1">
      <c r="A43" s="181" t="str">
        <f>Calculations!$A$4</f>
        <v>Beans</v>
      </c>
      <c r="B43" s="36">
        <f>N43</f>
        <v>15000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15000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15000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15000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60000</v>
      </c>
      <c r="AA43" s="36">
        <f>SUM(B43:M43)</f>
        <v>30000</v>
      </c>
      <c r="AB43" s="36">
        <f>SUM(B43:Y43)</f>
        <v>60000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18000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18000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18000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18000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54000</v>
      </c>
      <c r="AA48" s="46">
        <f>SUM(B48:M48)</f>
        <v>36000</v>
      </c>
      <c r="AB48" s="46">
        <f>SUM(B48:Y48)</f>
        <v>72000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18000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18000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18000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18000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54000</v>
      </c>
      <c r="AA49" s="46">
        <f>SUM(B49:M49)</f>
        <v>36000</v>
      </c>
      <c r="AB49" s="46">
        <f>SUM(B49:Y49)</f>
        <v>72000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7200</v>
      </c>
      <c r="C60" s="36">
        <f>O60</f>
        <v>7200</v>
      </c>
      <c r="D60" s="36">
        <f>P60</f>
        <v>7200</v>
      </c>
      <c r="E60" s="36">
        <f>Q60</f>
        <v>7200</v>
      </c>
      <c r="F60" s="36">
        <f>R60</f>
        <v>7200</v>
      </c>
      <c r="G60" s="36">
        <f>S60</f>
        <v>0</v>
      </c>
      <c r="H60" s="36">
        <f>T60</f>
        <v>7200</v>
      </c>
      <c r="I60" s="36">
        <f>U60</f>
        <v>7200</v>
      </c>
      <c r="J60" s="36">
        <f>V60</f>
        <v>7200</v>
      </c>
      <c r="K60" s="36">
        <f>W60</f>
        <v>7200</v>
      </c>
      <c r="L60" s="36">
        <f>X60</f>
        <v>7200</v>
      </c>
      <c r="M60" s="36">
        <f>Y60</f>
        <v>0</v>
      </c>
      <c r="N60" s="46">
        <f>SUM(N61:N65)</f>
        <v>7200</v>
      </c>
      <c r="O60" s="46">
        <f>SUM(O61:O65)</f>
        <v>7200</v>
      </c>
      <c r="P60" s="46">
        <f>SUM(P61:P65)</f>
        <v>7200</v>
      </c>
      <c r="Q60" s="46">
        <f>SUM(Q61:Q65)</f>
        <v>7200</v>
      </c>
      <c r="R60" s="46">
        <f>SUM(R61:R65)</f>
        <v>7200</v>
      </c>
      <c r="S60" s="46">
        <f>SUM(S61:S65)</f>
        <v>0</v>
      </c>
      <c r="T60" s="46">
        <f>SUM(T61:T65)</f>
        <v>7200</v>
      </c>
      <c r="U60" s="46">
        <f>SUM(U61:U65)</f>
        <v>7200</v>
      </c>
      <c r="V60" s="46">
        <f>SUM(V61:V65)</f>
        <v>7200</v>
      </c>
      <c r="W60" s="46">
        <f>SUM(W61:W65)</f>
        <v>7200</v>
      </c>
      <c r="X60" s="46">
        <f>SUM(X61:X65)</f>
        <v>7200</v>
      </c>
      <c r="Y60" s="46">
        <f>SUM(Y61:Y65)</f>
        <v>0</v>
      </c>
      <c r="Z60" s="46">
        <f>SUMIF($B$13:$Y$13,"Yes",B60:Y60)</f>
        <v>115200</v>
      </c>
      <c r="AA60" s="46">
        <f>SUM(B60:M60)</f>
        <v>72000</v>
      </c>
      <c r="AB60" s="46">
        <f>SUM(B60:Y60)</f>
        <v>144000</v>
      </c>
    </row>
    <row r="61" spans="1:30" hidden="true" outlineLevel="1">
      <c r="A61" s="181" t="str">
        <f>Calculations!$A$4</f>
        <v>Beans</v>
      </c>
      <c r="B61" s="36">
        <f>N61</f>
        <v>7200</v>
      </c>
      <c r="C61" s="36">
        <f>O61</f>
        <v>7200</v>
      </c>
      <c r="D61" s="36">
        <f>P61</f>
        <v>7200</v>
      </c>
      <c r="E61" s="36">
        <f>Q61</f>
        <v>7200</v>
      </c>
      <c r="F61" s="36">
        <f>R61</f>
        <v>7200</v>
      </c>
      <c r="G61" s="36">
        <f>S61</f>
        <v>0</v>
      </c>
      <c r="H61" s="36">
        <f>T61</f>
        <v>7200</v>
      </c>
      <c r="I61" s="36">
        <f>U61</f>
        <v>7200</v>
      </c>
      <c r="J61" s="36">
        <f>V61</f>
        <v>7200</v>
      </c>
      <c r="K61" s="36">
        <f>W61</f>
        <v>7200</v>
      </c>
      <c r="L61" s="36">
        <f>X61</f>
        <v>7200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7200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7200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7200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7200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7200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7200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7200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7200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7200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7200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115200</v>
      </c>
      <c r="AA61" s="46">
        <f>SUM(B61:M61)</f>
        <v>72000</v>
      </c>
      <c r="AB61" s="46">
        <f>SUM(B61:Y61)</f>
        <v>144000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Beans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60000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60000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120000</v>
      </c>
      <c r="AA72" s="46">
        <f>SUM(B72:M72)</f>
        <v>60000</v>
      </c>
      <c r="AB72" s="46">
        <f>SUM(B72:Y72)</f>
        <v>120000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13249.95387208861</v>
      </c>
      <c r="C81" s="46">
        <f>(SUM($AA$18:$AA$29)-SUM($AA$36,$AA$42,$AA$48,$AA$54,$AA$60,$AA$66,$AA$72:$AA$79))*Parameters!$B$37/12</f>
        <v>13249.95387208861</v>
      </c>
      <c r="D81" s="46">
        <f>(SUM($AA$18:$AA$29)-SUM($AA$36,$AA$42,$AA$48,$AA$54,$AA$60,$AA$66,$AA$72:$AA$79))*Parameters!$B$37/12</f>
        <v>13249.95387208861</v>
      </c>
      <c r="E81" s="46">
        <f>(SUM($AA$18:$AA$29)-SUM($AA$36,$AA$42,$AA$48,$AA$54,$AA$60,$AA$66,$AA$72:$AA$79))*Parameters!$B$37/12</f>
        <v>13249.95387208861</v>
      </c>
      <c r="F81" s="46">
        <f>(SUM($AA$18:$AA$29)-SUM($AA$36,$AA$42,$AA$48,$AA$54,$AA$60,$AA$66,$AA$72:$AA$79))*Parameters!$B$37/12</f>
        <v>13249.95387208861</v>
      </c>
      <c r="G81" s="46">
        <f>(SUM($AA$18:$AA$29)-SUM($AA$36,$AA$42,$AA$48,$AA$54,$AA$60,$AA$66,$AA$72:$AA$79))*Parameters!$B$37/12</f>
        <v>13249.95387208861</v>
      </c>
      <c r="H81" s="46">
        <f>(SUM($AA$18:$AA$29)-SUM($AA$36,$AA$42,$AA$48,$AA$54,$AA$60,$AA$66,$AA$72:$AA$79))*Parameters!$B$37/12</f>
        <v>13249.95387208861</v>
      </c>
      <c r="I81" s="46">
        <f>(SUM($AA$18:$AA$29)-SUM($AA$36,$AA$42,$AA$48,$AA$54,$AA$60,$AA$66,$AA$72:$AA$79))*Parameters!$B$37/12</f>
        <v>13249.95387208861</v>
      </c>
      <c r="J81" s="46">
        <f>(SUM($AA$18:$AA$29)-SUM($AA$36,$AA$42,$AA$48,$AA$54,$AA$60,$AA$66,$AA$72:$AA$79))*Parameters!$B$37/12</f>
        <v>13249.95387208861</v>
      </c>
      <c r="K81" s="46">
        <f>(SUM($AA$18:$AA$29)-SUM($AA$36,$AA$42,$AA$48,$AA$54,$AA$60,$AA$66,$AA$72:$AA$79))*Parameters!$B$37/12</f>
        <v>13249.95387208861</v>
      </c>
      <c r="L81" s="46">
        <f>(SUM($AA$18:$AA$29)-SUM($AA$36,$AA$42,$AA$48,$AA$54,$AA$60,$AA$66,$AA$72:$AA$79))*Parameters!$B$37/12</f>
        <v>13249.95387208861</v>
      </c>
      <c r="M81" s="46">
        <f>(SUM($AA$18:$AA$29)-SUM($AA$36,$AA$42,$AA$48,$AA$54,$AA$60,$AA$66,$AA$72:$AA$79))*Parameters!$B$37/12</f>
        <v>13249.95387208861</v>
      </c>
      <c r="N81" s="46">
        <f>(SUM($AA$18:$AA$29)-SUM($AA$36,$AA$42,$AA$48,$AA$54,$AA$60,$AA$66,$AA$72:$AA$79))*Parameters!$B$37/12</f>
        <v>13249.95387208861</v>
      </c>
      <c r="O81" s="46">
        <f>(SUM($AA$18:$AA$29)-SUM($AA$36,$AA$42,$AA$48,$AA$54,$AA$60,$AA$66,$AA$72:$AA$79))*Parameters!$B$37/12</f>
        <v>13249.95387208861</v>
      </c>
      <c r="P81" s="46">
        <f>(SUM($AA$18:$AA$29)-SUM($AA$36,$AA$42,$AA$48,$AA$54,$AA$60,$AA$66,$AA$72:$AA$79))*Parameters!$B$37/12</f>
        <v>13249.95387208861</v>
      </c>
      <c r="Q81" s="46">
        <f>(SUM($AA$18:$AA$29)-SUM($AA$36,$AA$42,$AA$48,$AA$54,$AA$60,$AA$66,$AA$72:$AA$79))*Parameters!$B$37/12</f>
        <v>13249.95387208861</v>
      </c>
      <c r="R81" s="46">
        <f>(SUM($AA$18:$AA$29)-SUM($AA$36,$AA$42,$AA$48,$AA$54,$AA$60,$AA$66,$AA$72:$AA$79))*Parameters!$B$37/12</f>
        <v>13249.95387208861</v>
      </c>
      <c r="S81" s="46">
        <f>(SUM($AA$18:$AA$29)-SUM($AA$36,$AA$42,$AA$48,$AA$54,$AA$60,$AA$66,$AA$72:$AA$79))*Parameters!$B$37/12</f>
        <v>13249.95387208861</v>
      </c>
      <c r="T81" s="46">
        <f>(SUM($AA$18:$AA$29)-SUM($AA$36,$AA$42,$AA$48,$AA$54,$AA$60,$AA$66,$AA$72:$AA$79))*Parameters!$B$37/12</f>
        <v>13249.95387208861</v>
      </c>
      <c r="U81" s="46">
        <f>(SUM($AA$18:$AA$29)-SUM($AA$36,$AA$42,$AA$48,$AA$54,$AA$60,$AA$66,$AA$72:$AA$79))*Parameters!$B$37/12</f>
        <v>13249.95387208861</v>
      </c>
      <c r="V81" s="46">
        <f>(SUM($AA$18:$AA$29)-SUM($AA$36,$AA$42,$AA$48,$AA$54,$AA$60,$AA$66,$AA$72:$AA$79))*Parameters!$B$37/12</f>
        <v>13249.95387208861</v>
      </c>
      <c r="W81" s="46">
        <f>(SUM($AA$18:$AA$29)-SUM($AA$36,$AA$42,$AA$48,$AA$54,$AA$60,$AA$66,$AA$72:$AA$79))*Parameters!$B$37/12</f>
        <v>13249.95387208861</v>
      </c>
      <c r="X81" s="46">
        <f>(SUM($AA$18:$AA$29)-SUM($AA$36,$AA$42,$AA$48,$AA$54,$AA$60,$AA$66,$AA$72:$AA$79))*Parameters!$B$37/12</f>
        <v>13249.95387208861</v>
      </c>
      <c r="Y81" s="46">
        <f>(SUM($AA$18:$AA$29)-SUM($AA$36,$AA$42,$AA$48,$AA$54,$AA$60,$AA$66,$AA$72:$AA$79))*Parameters!$B$37/12</f>
        <v>13249.95387208861</v>
      </c>
      <c r="Z81" s="46">
        <f>SUMIF($B$13:$Y$13,"Yes",B81:Y81)</f>
        <v>251749.1235696835</v>
      </c>
      <c r="AA81" s="46">
        <f>SUM(B81:M81)</f>
        <v>158999.4464650633</v>
      </c>
      <c r="AB81" s="46">
        <f>SUM(B81:Y81)</f>
        <v>317998.8929301267</v>
      </c>
    </row>
    <row r="82" spans="1:30">
      <c r="A82" s="16" t="s">
        <v>52</v>
      </c>
      <c r="B82" s="46">
        <f>SUM(B83:B87)</f>
        <v>8156.462585034013</v>
      </c>
      <c r="C82" s="46">
        <f>SUM(C83:C87)</f>
        <v>8156.462585034013</v>
      </c>
      <c r="D82" s="46">
        <f>SUM(D83:D87)</f>
        <v>8156.462585034013</v>
      </c>
      <c r="E82" s="46">
        <f>SUM(E83:E87)</f>
        <v>8156.462585034013</v>
      </c>
      <c r="F82" s="46">
        <f>SUM(F83:F87)</f>
        <v>8156.462585034013</v>
      </c>
      <c r="G82" s="46">
        <f>SUM(G83:G87)</f>
        <v>8156.462585034013</v>
      </c>
      <c r="H82" s="46">
        <f>SUM(H83:H87)</f>
        <v>8156.462585034013</v>
      </c>
      <c r="I82" s="46">
        <f>SUM(I83:I87)</f>
        <v>8156.462585034013</v>
      </c>
      <c r="J82" s="46">
        <f>SUM(J83:J87)</f>
        <v>8156.462585034013</v>
      </c>
      <c r="K82" s="46">
        <f>SUM(K83:K87)</f>
        <v>8156.462585034013</v>
      </c>
      <c r="L82" s="46">
        <f>SUM(L83:L87)</f>
        <v>8156.462585034013</v>
      </c>
      <c r="M82" s="46">
        <f>SUM(M83:M87)</f>
        <v>8156.462585034013</v>
      </c>
      <c r="N82" s="46">
        <f>SUM(N83:N87)</f>
        <v>8156.462585034013</v>
      </c>
      <c r="O82" s="46">
        <f>SUM(O83:O87)</f>
        <v>8156.462585034013</v>
      </c>
      <c r="P82" s="46">
        <f>SUM(P83:P87)</f>
        <v>8156.462585034013</v>
      </c>
      <c r="Q82" s="46">
        <f>SUM(Q83:Q87)</f>
        <v>8156.462585034013</v>
      </c>
      <c r="R82" s="46">
        <f>SUM(R83:R87)</f>
        <v>8156.462585034013</v>
      </c>
      <c r="S82" s="46">
        <f>SUM(S83:S87)</f>
        <v>8156.462585034013</v>
      </c>
      <c r="T82" s="46">
        <f>SUM(T83:T87)</f>
        <v>8156.462585034013</v>
      </c>
      <c r="U82" s="46">
        <f>SUM(U83:U87)</f>
        <v>8156.462585034013</v>
      </c>
      <c r="V82" s="46">
        <f>SUM(V83:V87)</f>
        <v>8156.462585034013</v>
      </c>
      <c r="W82" s="46">
        <f>SUM(W83:W87)</f>
        <v>8156.462585034013</v>
      </c>
      <c r="X82" s="46">
        <f>SUM(X83:X87)</f>
        <v>8156.462585034013</v>
      </c>
      <c r="Y82" s="46">
        <f>SUM(Y83:Y87)</f>
        <v>8156.462585034013</v>
      </c>
      <c r="Z82" s="46">
        <f>SUMIF($B$13:$Y$13,"Yes",B82:Y82)</f>
        <v>154972.7891156462</v>
      </c>
      <c r="AA82" s="46">
        <f>SUM(B82:M82)</f>
        <v>97877.55102040812</v>
      </c>
      <c r="AB82" s="46">
        <f>SUM(B82:Y82)</f>
        <v>195755.1020408163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8156.462585034013</v>
      </c>
      <c r="C83" s="46">
        <f>IF(Calculations!$E23&gt;COUNT(Output!$B$35:C$35),Calculations!$B23,IF(Calculations!$E23=COUNT(Output!$B$35:C$35),Inputs!$B56-Calculations!$C23*(Calculations!$E23-1)+Calculations!$D23,0))</f>
        <v>8156.462585034013</v>
      </c>
      <c r="D83" s="46">
        <f>IF(Calculations!$E23&gt;COUNT(Output!$B$35:D$35),Calculations!$B23,IF(Calculations!$E23=COUNT(Output!$B$35:D$35),Inputs!$B56-Calculations!$C23*(Calculations!$E23-1)+Calculations!$D23,0))</f>
        <v>8156.462585034013</v>
      </c>
      <c r="E83" s="46">
        <f>IF(Calculations!$E23&gt;COUNT(Output!$B$35:E$35),Calculations!$B23,IF(Calculations!$E23=COUNT(Output!$B$35:E$35),Inputs!$B56-Calculations!$C23*(Calculations!$E23-1)+Calculations!$D23,0))</f>
        <v>8156.462585034013</v>
      </c>
      <c r="F83" s="46">
        <f>IF(Calculations!$E23&gt;COUNT(Output!$B$35:F$35),Calculations!$B23,IF(Calculations!$E23=COUNT(Output!$B$35:F$35),Inputs!$B56-Calculations!$C23*(Calculations!$E23-1)+Calculations!$D23,0))</f>
        <v>8156.462585034013</v>
      </c>
      <c r="G83" s="46">
        <f>IF(Calculations!$E23&gt;COUNT(Output!$B$35:G$35),Calculations!$B23,IF(Calculations!$E23=COUNT(Output!$B$35:G$35),Inputs!$B56-Calculations!$C23*(Calculations!$E23-1)+Calculations!$D23,0))</f>
        <v>8156.462585034013</v>
      </c>
      <c r="H83" s="46">
        <f>IF(Calculations!$E23&gt;COUNT(Output!$B$35:H$35),Calculations!$B23,IF(Calculations!$E23=COUNT(Output!$B$35:H$35),Inputs!$B56-Calculations!$C23*(Calculations!$E23-1)+Calculations!$D23,0))</f>
        <v>8156.462585034013</v>
      </c>
      <c r="I83" s="46">
        <f>IF(Calculations!$E23&gt;COUNT(Output!$B$35:I$35),Calculations!$B23,IF(Calculations!$E23=COUNT(Output!$B$35:I$35),Inputs!$B56-Calculations!$C23*(Calculations!$E23-1)+Calculations!$D23,0))</f>
        <v>8156.462585034013</v>
      </c>
      <c r="J83" s="46">
        <f>IF(Calculations!$E23&gt;COUNT(Output!$B$35:J$35),Calculations!$B23,IF(Calculations!$E23=COUNT(Output!$B$35:J$35),Inputs!$B56-Calculations!$C23*(Calculations!$E23-1)+Calculations!$D23,0))</f>
        <v>8156.462585034013</v>
      </c>
      <c r="K83" s="46">
        <f>IF(Calculations!$E23&gt;COUNT(Output!$B$35:K$35),Calculations!$B23,IF(Calculations!$E23=COUNT(Output!$B$35:K$35),Inputs!$B56-Calculations!$C23*(Calculations!$E23-1)+Calculations!$D23,0))</f>
        <v>8156.462585034013</v>
      </c>
      <c r="L83" s="46">
        <f>IF(Calculations!$E23&gt;COUNT(Output!$B$35:L$35),Calculations!$B23,IF(Calculations!$E23=COUNT(Output!$B$35:L$35),Inputs!$B56-Calculations!$C23*(Calculations!$E23-1)+Calculations!$D23,0))</f>
        <v>8156.462585034013</v>
      </c>
      <c r="M83" s="46">
        <f>IF(Calculations!$E23&gt;COUNT(Output!$B$35:M$35),Calculations!$B23,IF(Calculations!$E23=COUNT(Output!$B$35:M$35),Inputs!$B56-Calculations!$C23*(Calculations!$E23-1)+Calculations!$D23,0))</f>
        <v>8156.462585034013</v>
      </c>
      <c r="N83" s="46">
        <f>IF(Calculations!$E23&gt;COUNT(Output!$B$35:N$35),Calculations!$B23,IF(Calculations!$E23=COUNT(Output!$B$35:N$35),Inputs!$B56-Calculations!$C23*(Calculations!$E23-1)+Calculations!$D23,0))</f>
        <v>8156.462585034013</v>
      </c>
      <c r="O83" s="46">
        <f>IF(Calculations!$E23&gt;COUNT(Output!$B$35:O$35),Calculations!$B23,IF(Calculations!$E23=COUNT(Output!$B$35:O$35),Inputs!$B56-Calculations!$C23*(Calculations!$E23-1)+Calculations!$D23,0))</f>
        <v>8156.462585034013</v>
      </c>
      <c r="P83" s="46">
        <f>IF(Calculations!$E23&gt;COUNT(Output!$B$35:P$35),Calculations!$B23,IF(Calculations!$E23=COUNT(Output!$B$35:P$35),Inputs!$B56-Calculations!$C23*(Calculations!$E23-1)+Calculations!$D23,0))</f>
        <v>8156.462585034013</v>
      </c>
      <c r="Q83" s="46">
        <f>IF(Calculations!$E23&gt;COUNT(Output!$B$35:Q$35),Calculations!$B23,IF(Calculations!$E23=COUNT(Output!$B$35:Q$35),Inputs!$B56-Calculations!$C23*(Calculations!$E23-1)+Calculations!$D23,0))</f>
        <v>8156.462585034013</v>
      </c>
      <c r="R83" s="46">
        <f>IF(Calculations!$E23&gt;COUNT(Output!$B$35:R$35),Calculations!$B23,IF(Calculations!$E23=COUNT(Output!$B$35:R$35),Inputs!$B56-Calculations!$C23*(Calculations!$E23-1)+Calculations!$D23,0))</f>
        <v>8156.462585034013</v>
      </c>
      <c r="S83" s="46">
        <f>IF(Calculations!$E23&gt;COUNT(Output!$B$35:S$35),Calculations!$B23,IF(Calculations!$E23=COUNT(Output!$B$35:S$35),Inputs!$B56-Calculations!$C23*(Calculations!$E23-1)+Calculations!$D23,0))</f>
        <v>8156.462585034013</v>
      </c>
      <c r="T83" s="46">
        <f>IF(Calculations!$E23&gt;COUNT(Output!$B$35:T$35),Calculations!$B23,IF(Calculations!$E23=COUNT(Output!$B$35:T$35),Inputs!$B56-Calculations!$C23*(Calculations!$E23-1)+Calculations!$D23,0))</f>
        <v>8156.462585034013</v>
      </c>
      <c r="U83" s="46">
        <f>IF(Calculations!$E23&gt;COUNT(Output!$B$35:U$35),Calculations!$B23,IF(Calculations!$E23=COUNT(Output!$B$35:U$35),Inputs!$B56-Calculations!$C23*(Calculations!$E23-1)+Calculations!$D23,0))</f>
        <v>8156.462585034013</v>
      </c>
      <c r="V83" s="46">
        <f>IF(Calculations!$E23&gt;COUNT(Output!$B$35:V$35),Calculations!$B23,IF(Calculations!$E23=COUNT(Output!$B$35:V$35),Inputs!$B56-Calculations!$C23*(Calculations!$E23-1)+Calculations!$D23,0))</f>
        <v>8156.462585034013</v>
      </c>
      <c r="W83" s="46">
        <f>IF(Calculations!$E23&gt;COUNT(Output!$B$35:W$35),Calculations!$B23,IF(Calculations!$E23=COUNT(Output!$B$35:W$35),Inputs!$B56-Calculations!$C23*(Calculations!$E23-1)+Calculations!$D23,0))</f>
        <v>8156.462585034013</v>
      </c>
      <c r="X83" s="46">
        <f>IF(Calculations!$E23&gt;COUNT(Output!$B$35:X$35),Calculations!$B23,IF(Calculations!$E23=COUNT(Output!$B$35:X$35),Inputs!$B56-Calculations!$C23*(Calculations!$E23-1)+Calculations!$D23,0))</f>
        <v>8156.462585034013</v>
      </c>
      <c r="Y83" s="46">
        <f>IF(Calculations!$E23&gt;COUNT(Output!$B$35:Y$35),Calculations!$B23,IF(Calculations!$E23=COUNT(Output!$B$35:Y$35),Inputs!$B56-Calculations!$C23*(Calculations!$E23-1)+Calculations!$D23,0))</f>
        <v>8156.462585034013</v>
      </c>
      <c r="Z83" s="46">
        <f>SUMIF($B$13:$Y$13,"Yes",B83:Y83)</f>
        <v>154972.7891156462</v>
      </c>
      <c r="AA83" s="46">
        <f>SUM(B83:M83)</f>
        <v>97877.55102040812</v>
      </c>
      <c r="AB83" s="46">
        <f>SUM(B83:Y83)</f>
        <v>195755.1020408163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55606.41645712263</v>
      </c>
      <c r="C88" s="19">
        <f>SUM(C72:C82,C66,C60,C54,C48,C42,C36)</f>
        <v>28606.41645712262</v>
      </c>
      <c r="D88" s="19">
        <f>SUM(D72:D82,D66,D60,D54,D48,D42,D36)</f>
        <v>46606.41645712263</v>
      </c>
      <c r="E88" s="19">
        <f>SUM(E72:E82,E66,E60,E54,E48,E42,E36)</f>
        <v>88606.41645712261</v>
      </c>
      <c r="F88" s="19">
        <f>SUM(F72:F82,F66,F60,F54,F48,F42,F36)</f>
        <v>28606.41645712262</v>
      </c>
      <c r="G88" s="19">
        <f>SUM(G72:G82,G66,G60,G54,G48,G42,G36)</f>
        <v>21406.41645712262</v>
      </c>
      <c r="H88" s="19">
        <f>SUM(H72:H82,H66,H60,H54,H48,H42,H36)</f>
        <v>55606.41645712263</v>
      </c>
      <c r="I88" s="19">
        <f>SUM(I72:I82,I66,I60,I54,I48,I42,I36)</f>
        <v>28606.41645712262</v>
      </c>
      <c r="J88" s="19">
        <f>SUM(J72:J82,J66,J60,J54,J48,J42,J36)</f>
        <v>46606.41645712263</v>
      </c>
      <c r="K88" s="19">
        <f>SUM(K72:K82,K66,K60,K54,K48,K42,K36)</f>
        <v>28606.41645712262</v>
      </c>
      <c r="L88" s="19">
        <f>SUM(L72:L82,L66,L60,L54,L48,L42,L36)</f>
        <v>28606.41645712262</v>
      </c>
      <c r="M88" s="19">
        <f>SUM(M72:M82,M66,M60,M54,M48,M42,M36)</f>
        <v>21406.41645712262</v>
      </c>
      <c r="N88" s="19">
        <f>SUM(N72:N82,N66,N60,N54,N48,N42,N36)</f>
        <v>55606.41645712263</v>
      </c>
      <c r="O88" s="19">
        <f>SUM(O72:O82,O66,O60,O54,O48,O42,O36)</f>
        <v>28606.41645712262</v>
      </c>
      <c r="P88" s="19">
        <f>SUM(P72:P82,P66,P60,P54,P48,P42,P36)</f>
        <v>46606.41645712263</v>
      </c>
      <c r="Q88" s="19">
        <f>SUM(Q72:Q82,Q66,Q60,Q54,Q48,Q42,Q36)</f>
        <v>88606.41645712261</v>
      </c>
      <c r="R88" s="19">
        <f>SUM(R72:R82,R66,R60,R54,R48,R42,R36)</f>
        <v>28606.41645712262</v>
      </c>
      <c r="S88" s="19">
        <f>SUM(S72:S82,S66,S60,S54,S48,S42,S36)</f>
        <v>21406.41645712262</v>
      </c>
      <c r="T88" s="19">
        <f>SUM(T72:T82,T66,T60,T54,T48,T42,T36)</f>
        <v>55606.41645712263</v>
      </c>
      <c r="U88" s="19">
        <f>SUM(U72:U82,U66,U60,U54,U48,U42,U36)</f>
        <v>28606.41645712262</v>
      </c>
      <c r="V88" s="19">
        <f>SUM(V72:V82,V66,V60,V54,V48,V42,V36)</f>
        <v>46606.41645712263</v>
      </c>
      <c r="W88" s="19">
        <f>SUM(W72:W82,W66,W60,W54,W48,W42,W36)</f>
        <v>28606.41645712262</v>
      </c>
      <c r="X88" s="19">
        <f>SUM(X72:X82,X66,X60,X54,X48,X42,X36)</f>
        <v>28606.41645712262</v>
      </c>
      <c r="Y88" s="19">
        <f>SUM(Y72:Y82,Y66,Y60,Y54,Y48,Y42,Y36)</f>
        <v>21406.41645712262</v>
      </c>
      <c r="Z88" s="19">
        <f>SUMIF($B$13:$Y$13,"Yes",B88:Y88)</f>
        <v>803921.9126853299</v>
      </c>
      <c r="AA88" s="19">
        <f>SUM(B88:M88)</f>
        <v>478876.9974854714</v>
      </c>
      <c r="AB88" s="19">
        <f>SUM(B88:Y88)</f>
        <v>957753.9949709432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1030000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178000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430000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37000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>
        <v>60000</v>
      </c>
    </row>
    <row r="42" spans="1:48">
      <c r="A42" s="55" t="s">
        <v>124</v>
      </c>
      <c r="B42" s="139" t="s">
        <v>125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300000</v>
      </c>
    </row>
    <row r="46" spans="1:48" customHeight="1" ht="30">
      <c r="A46" s="57" t="s">
        <v>130</v>
      </c>
      <c r="B46" s="161">
        <v>100000</v>
      </c>
    </row>
    <row r="47" spans="1:48" customHeight="1" ht="30">
      <c r="A47" s="57" t="s">
        <v>131</v>
      </c>
      <c r="B47" s="161">
        <v>0</v>
      </c>
    </row>
    <row r="48" spans="1:48" customHeight="1" ht="30">
      <c r="A48" s="57" t="s">
        <v>132</v>
      </c>
      <c r="B48" s="161">
        <v>600000</v>
      </c>
    </row>
    <row r="49" spans="1:48" customHeight="1" ht="30">
      <c r="A49" s="57" t="s">
        <v>133</v>
      </c>
      <c r="B49" s="161">
        <v>30000</v>
      </c>
    </row>
    <row r="50" spans="1:48">
      <c r="A50" s="43"/>
      <c r="B50" s="36"/>
    </row>
    <row r="51" spans="1:48">
      <c r="A51" s="58" t="s">
        <v>134</v>
      </c>
      <c r="B51" s="161">
        <v>2000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200000</v>
      </c>
      <c r="B56" s="159">
        <v>178000</v>
      </c>
      <c r="C56" s="162" t="s">
        <v>142</v>
      </c>
      <c r="D56" s="163" t="s">
        <v>143</v>
      </c>
      <c r="E56" s="163" t="s">
        <v>122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146</v>
      </c>
      <c r="C65" s="10" t="s">
        <v>147</v>
      </c>
    </row>
    <row r="66" spans="1:48">
      <c r="A66" s="142" t="s">
        <v>148</v>
      </c>
      <c r="B66" s="159">
        <v>605672</v>
      </c>
      <c r="C66" s="163">
        <v>634878</v>
      </c>
      <c r="D66" s="49">
        <f>INDEX(Parameters!$D$79:$D$90,MATCH(Inputs!A66,Parameters!$C$79:$C$90,0))</f>
        <v>9</v>
      </c>
    </row>
    <row r="67" spans="1:48">
      <c r="A67" s="143" t="s">
        <v>149</v>
      </c>
      <c r="B67" s="157">
        <v>494066</v>
      </c>
      <c r="C67" s="165">
        <v>457670</v>
      </c>
      <c r="D67" s="49">
        <f>INDEX(Parameters!$D$79:$D$90,MATCH(Inputs!A67,Parameters!$C$79:$C$90,0))</f>
        <v>10</v>
      </c>
    </row>
    <row r="68" spans="1:48">
      <c r="A68" s="143" t="s">
        <v>150</v>
      </c>
      <c r="B68" s="157">
        <v>1854795</v>
      </c>
      <c r="C68" s="165">
        <v>1700987</v>
      </c>
      <c r="D68" s="49">
        <f>INDEX(Parameters!$D$79:$D$90,MATCH(Inputs!A68,Parameters!$C$79:$C$90,0))</f>
        <v>11</v>
      </c>
    </row>
    <row r="69" spans="1:48">
      <c r="A69" s="143" t="s">
        <v>151</v>
      </c>
      <c r="B69" s="157">
        <v>713826</v>
      </c>
      <c r="C69" s="165">
        <v>678777</v>
      </c>
      <c r="D69" s="49">
        <f>INDEX(Parameters!$D$79:$D$90,MATCH(Inputs!A69,Parameters!$C$79:$C$90,0))</f>
        <v>12</v>
      </c>
    </row>
    <row r="70" spans="1:48">
      <c r="A70" s="143" t="s">
        <v>152</v>
      </c>
      <c r="B70" s="157">
        <v>846247</v>
      </c>
      <c r="C70" s="165">
        <v>878000</v>
      </c>
      <c r="D70" s="49">
        <f>INDEX(Parameters!$D$79:$D$90,MATCH(Inputs!A70,Parameters!$C$79:$C$90,0))</f>
        <v>1</v>
      </c>
    </row>
    <row r="71" spans="1:48">
      <c r="A71" s="144" t="s">
        <v>153</v>
      </c>
      <c r="B71" s="158">
        <v>795044</v>
      </c>
      <c r="C71" s="167">
        <v>756700</v>
      </c>
      <c r="D71" s="49">
        <f>INDEX(Parameters!$D$79:$D$90,MATCH(Inputs!A71,Parameters!$C$79:$C$90,0))</f>
        <v>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12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250000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18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3581.604411482824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175498.6161626583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15000</v>
      </c>
      <c r="W4" s="33">
        <f>IFERROR(J4*H4*Parameters!$B$35+IF(OR(Inputs!F7=Parameters!$E$78,Inputs!F7=Parameters!$E$80),Calculations!H4*Parameters!$B$36,0),0)</f>
        <v>12000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</v>
      </c>
      <c r="Z4" s="33">
        <f>IF(Inputs!I7=Parameters!$F$78,H4*INDEX(Parameters!$A$3:$AI$18,MATCH(Calculations!A4,Parameters!$A$3:$A$18,0),MATCH(Parameters!$Q$3,Parameters!$A$3:$AI$3,0)),0)</f>
        <v>36000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200000</v>
      </c>
      <c r="B23" s="75">
        <f>SUM(C23:D23)</f>
        <v>8156.462585034013</v>
      </c>
      <c r="C23" s="75">
        <f>IF(Inputs!B56&gt;0,(Inputs!A56-Inputs!B56)/(DATE(YEAR(Inputs!$B$76),MONTH(Inputs!$B$76),DAY(Inputs!$B$76))-DATE(YEAR(Inputs!C56),MONTH(Inputs!C56),DAY(Inputs!C56)))*30,0)</f>
        <v>4489.795918367347</v>
      </c>
      <c r="D23" s="75">
        <f>IF(Inputs!B56&gt;0,Inputs!A56*0.22/12,0)</f>
        <v>3666.666666666667</v>
      </c>
      <c r="E23" s="75">
        <f>IFERROR(ROUNDUP(Inputs!B56/C23,0),0)</f>
        <v>40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42826</v>
      </c>
      <c r="C33" s="27">
        <f>IF(B33&lt;&gt;"",IF(COUNT($A$33:A33)&lt;=$G$39,0,$G$41)+IF(COUNT($A$33:A33)&lt;=$G$40,0,$G$42),0)</f>
        <v>17638.88888888889</v>
      </c>
      <c r="D33" s="170">
        <f>IFERROR(DATE(YEAR(B33),MONTH(B33),1)," ")</f>
        <v>42826</v>
      </c>
      <c r="F33" t="s">
        <v>159</v>
      </c>
      <c r="G33" s="128">
        <f>IF(Inputs!B79="","",DATE(YEAR(Inputs!B79),MONTH(Inputs!B79),DAY(Inputs!B79)))</f>
        <v>42817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42856</v>
      </c>
      <c r="C34" s="27">
        <f>IF(B34&lt;&gt;"",IF(COUNT($A$33:A34)&lt;=$G$39,0,$G$41)+IF(COUNT($A$33:A34)&lt;=$G$40,0,$G$42),0)</f>
        <v>17638.88888888889</v>
      </c>
      <c r="D34" s="170">
        <f>IFERROR(DATE(YEAR(B34),MONTH(B34),1)," ")</f>
        <v>42856</v>
      </c>
      <c r="F34" t="s">
        <v>160</v>
      </c>
      <c r="G34" s="128">
        <f>IF(Inputs!B80="","",DATE(YEAR(Inputs!B80),MONTH(Inputs!B80),DAY(Inputs!B80)))</f>
        <v>42826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42887</v>
      </c>
      <c r="C35" s="27">
        <f>IF(B35&lt;&gt;"",IF(COUNT($A$33:A35)&lt;=$G$39,0,$G$41)+IF(COUNT($A$33:A35)&lt;=$G$40,0,$G$42),0)</f>
        <v>17638.88888888889</v>
      </c>
      <c r="D35" s="170">
        <f>IFERROR(DATE(YEAR(B35),MONTH(B35),1)," ")</f>
        <v>42887</v>
      </c>
      <c r="F35" t="s">
        <v>162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42917</v>
      </c>
      <c r="C36" s="27">
        <f>IF(B36&lt;&gt;"",IF(COUNT($A$33:A36)&lt;=$G$39,0,$G$41)+IF(COUNT($A$33:A36)&lt;=$G$40,0,$G$42),0)</f>
        <v>17638.88888888889</v>
      </c>
      <c r="D36" s="170">
        <f>IFERROR(DATE(YEAR(B36),MONTH(B36),1)," ")</f>
        <v>42917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42948</v>
      </c>
      <c r="C37" s="27">
        <f>IF(B37&lt;&gt;"",IF(COUNT($A$33:A37)&lt;=$G$39,0,$G$41)+IF(COUNT($A$33:A37)&lt;=$G$40,0,$G$42),0)</f>
        <v>17638.88888888889</v>
      </c>
      <c r="D37" s="170">
        <f>IFERROR(DATE(YEAR(B37),MONTH(B37),1)," ")</f>
        <v>42948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42979</v>
      </c>
      <c r="C38" s="27">
        <f>IF(B38&lt;&gt;"",IF(COUNT($A$33:A38)&lt;=$G$39,0,$G$41)+IF(COUNT($A$33:A38)&lt;=$G$40,0,$G$42),0)</f>
        <v>17638.88888888889</v>
      </c>
      <c r="D38" s="170">
        <f>IFERROR(DATE(YEAR(B38),MONTH(B38),1)," ")</f>
        <v>42979</v>
      </c>
      <c r="F38" t="s">
        <v>225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43009</v>
      </c>
      <c r="C39" s="27">
        <f>IF(B39&lt;&gt;"",IF(COUNT($A$33:A39)&lt;=$G$39,0,$G$41)+IF(COUNT($A$33:A39)&lt;=$G$40,0,$G$42),0)</f>
        <v>17638.88888888889</v>
      </c>
      <c r="D39" s="170">
        <f>IFERROR(DATE(YEAR(B39),MONTH(B39),1)," ")</f>
        <v>43009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43040</v>
      </c>
      <c r="C40" s="27">
        <f>IF(B40&lt;&gt;"",IF(COUNT($A$33:A40)&lt;=$G$39,0,$G$41)+IF(COUNT($A$33:A40)&lt;=$G$40,0,$G$42),0)</f>
        <v>17638.88888888889</v>
      </c>
      <c r="D40" s="170">
        <f>IFERROR(DATE(YEAR(B40),MONTH(B40),1)," ")</f>
        <v>43040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43070</v>
      </c>
      <c r="C41" s="27">
        <f>IF(B41&lt;&gt;"",IF(COUNT($A$33:A41)&lt;=$G$39,0,$G$41)+IF(COUNT($A$33:A41)&lt;=$G$40,0,$G$42),0)</f>
        <v>17638.88888888889</v>
      </c>
      <c r="D41" s="170">
        <f>IFERROR(DATE(YEAR(B41),MONTH(B41),1)," ")</f>
        <v>43070</v>
      </c>
      <c r="F41" t="s">
        <v>226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43101</v>
      </c>
      <c r="C42" s="27">
        <f>IF(B42&lt;&gt;"",IF(COUNT($A$33:A42)&lt;=$G$39,0,$G$41)+IF(COUNT($A$33:A42)&lt;=$G$40,0,$G$42),0)</f>
        <v>17638.88888888889</v>
      </c>
      <c r="D42" s="170">
        <f>IFERROR(DATE(YEAR(B42),MONTH(B42),1)," ")</f>
        <v>43101</v>
      </c>
      <c r="F42" t="s">
        <v>227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43132</v>
      </c>
      <c r="C43" s="27">
        <f>IF(B43&lt;&gt;"",IF(COUNT($A$33:A43)&lt;=$G$39,0,$G$41)+IF(COUNT($A$33:A43)&lt;=$G$40,0,$G$42),0)</f>
        <v>17638.88888888889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43160</v>
      </c>
      <c r="C44" s="27">
        <f>IF(B44&lt;&gt;"",IF(COUNT($A$33:A44)&lt;=$G$39,0,$G$41)+IF(COUNT($A$33:A44)&lt;=$G$40,0,$G$42),0)</f>
        <v>17638.88888888889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43191</v>
      </c>
      <c r="C45" s="27">
        <f>IF(B45&lt;&gt;"",IF(COUNT($A$33:A45)&lt;=$G$39,0,$G$41)+IF(COUNT($A$33:A45)&lt;=$G$40,0,$G$42),0)</f>
        <v>17638.88888888889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43221</v>
      </c>
      <c r="C46" s="27">
        <f>IF(B46&lt;&gt;"",IF(COUNT($A$33:A46)&lt;=$G$39,0,$G$41)+IF(COUNT($A$33:A46)&lt;=$G$40,0,$G$42),0)</f>
        <v>17638.88888888889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43252</v>
      </c>
      <c r="C47" s="27">
        <f>IF(B47&lt;&gt;"",IF(COUNT($A$33:A47)&lt;=$G$39,0,$G$41)+IF(COUNT($A$33:A47)&lt;=$G$40,0,$G$42),0)</f>
        <v>17638.88888888889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43282</v>
      </c>
      <c r="C48" s="27">
        <f>IF(B48&lt;&gt;"",IF(COUNT($A$33:A48)&lt;=$G$39,0,$G$41)+IF(COUNT($A$33:A48)&lt;=$G$40,0,$G$42),0)</f>
        <v>17638.88888888889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43313</v>
      </c>
      <c r="C49" s="27">
        <f>IF(B49&lt;&gt;"",IF(COUNT($A$33:A49)&lt;=$G$39,0,$G$41)+IF(COUNT($A$33:A49)&lt;=$G$40,0,$G$42),0)</f>
        <v>17638.88888888889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43344</v>
      </c>
      <c r="C50" s="27">
        <f>IF(B50&lt;&gt;"",IF(COUNT($A$33:A50)&lt;=$G$39,0,$G$41)+IF(COUNT($A$33:A50)&lt;=$G$40,0,$G$42),0)</f>
        <v>17638.88888888889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122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314</v>
      </c>
      <c r="H52" s="12" t="s">
        <v>315</v>
      </c>
      <c r="I52" s="12" t="s">
        <v>127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228</v>
      </c>
      <c r="E53" s="10" t="s">
        <v>187</v>
      </c>
      <c r="F53" s="10" t="s">
        <v>247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122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122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122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122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122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122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122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165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224</v>
      </c>
      <c r="J76" s="11" t="s">
        <v>348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122</v>
      </c>
      <c r="F77" s="12" t="s">
        <v>122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122</v>
      </c>
      <c r="AJ77" s="12"/>
    </row>
    <row r="78" spans="1:36">
      <c r="A78" t="s">
        <v>122</v>
      </c>
      <c r="B78" s="176">
        <v>5</v>
      </c>
      <c r="C78" s="134" t="s">
        <v>353</v>
      </c>
      <c r="D78" s="133"/>
      <c r="E78" s="12" t="s">
        <v>354</v>
      </c>
      <c r="F78" s="12" t="s">
        <v>93</v>
      </c>
      <c r="G78" s="12" t="s">
        <v>355</v>
      </c>
      <c r="H78" s="12" t="s">
        <v>127</v>
      </c>
      <c r="I78" s="12" t="s">
        <v>356</v>
      </c>
      <c r="J78" s="70" t="s">
        <v>357</v>
      </c>
      <c r="K78" s="12" t="s">
        <v>122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361</v>
      </c>
      <c r="K79" s="12" t="s">
        <v>122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125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