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<sst xmlns="http://schemas.openxmlformats.org/spreadsheetml/2006/main" uniqueCount="366">
  <si>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</si>
  <si>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</si>
  <si>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</si>
  <si>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</si>
  <si>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</si>
  <si>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</si>
  <si>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</si>
  <si>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</si>
  <si>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</si>
  <si>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</si>
  <si>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</si>
  <si>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</si>
  <si>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</si>
  <si>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</si>
  <si>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</si>
  <si>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</si>
  <si>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</si>
  <si>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</si>
  <si>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</si>
  <si>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</si>
  <si>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</si>
  <si>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</si>
  <si>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</si>
  <si>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</si>
  <si>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</si>
  <si>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</si>
  <si>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</si>
  <si>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</si>
  <si>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</si>
  <si>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</si>
  <si>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</si>
  <si>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</si>
  <si>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</si>
  <si>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</si>
  <si>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</si>
  <si>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</si>
  <si>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</si>
  <si>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</si>
  <si>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</si>
  <si>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</si>
  <si>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</si>
  <si>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</si>
  <si>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</si>
  <si>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</si>
  <si>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</si>
  <si>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</si>
  <si>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</si>
  <si>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</si>
  <si>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</si>
  <si>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</si>
  <si>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</si>
  <si>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</si>
  <si>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</si>
  <si>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</si>
  <si>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</si>
  <si>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</si>
  <si>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</si>
  <si>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</si>
  <si>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</si>
  <si>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</si>
  <si>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</si>
  <si>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</si>
  <si>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</si>
  <si>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</si>
  <si>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</si>
  <si>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</si>
  <si>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</si>
  <si>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</si>
  <si>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</si>
  <si>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</si>
  <si>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</si>
  <si>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</si>
  <si>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</si>
  <si>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</si>
  <si>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</si>
  <si>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</si>
  <si>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</si>
  <si>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</si>
  <si>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</si>
  <si>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</si>
  <si>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</si>
  <si>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</si>
  <si>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</si>
  <si>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</si>
  <si>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</si>
  <si>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</si>
  <si>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</si>
  <si>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</si>
  <si>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</si>
  <si>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</si>
  <si>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Other farmers</t>
  </si>
  <si>
    <t>Yes only manure</t>
  </si>
  <si>
    <t>Yes</t>
  </si>
  <si>
    <t>Yes using a diesel pump</t>
  </si>
  <si>
    <t>January</t>
  </si>
  <si>
    <t>Cabbages</t>
  </si>
  <si>
    <t>Shop_certified variety</t>
  </si>
  <si>
    <t>Yes both manure and inorganic</t>
  </si>
  <si>
    <t>April</t>
  </si>
  <si>
    <t>Tomatoes</t>
  </si>
  <si>
    <t>Other crops</t>
  </si>
  <si>
    <t>Arrowroots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</si>
  <si>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</si>
  <si>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</si>
  <si>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</si>
  <si>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</si>
  <si>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</si>
  <si>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</si>
  <si>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</si>
  <si>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</si>
  <si>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</si>
  <si>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</si>
  <si>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</si>
  <si>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</si>
  <si>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</si>
  <si>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</si>
  <si>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</si>
  <si>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</si>
  <si>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</si>
  <si>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</si>
  <si>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</si>
  <si>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</si>
  <si>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</si>
  <si>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</si>
  <si>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</si>
  <si>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</si>
  <si>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</si>
  <si>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</si>
  <si>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</si>
  <si>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</si>
  <si>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</si>
  <si>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</si>
  <si>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</si>
  <si>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</si>
  <si>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</si>
  <si>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</si>
  <si>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</si>
  <si>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</si>
  <si>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</si>
  <si>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</si>
  <si>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</si>
  <si>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</si>
  <si>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</si>
  <si>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</si>
  <si>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</si>
  <si>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</si>
  <si>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</si>
  <si>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</si>
  <si>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</si>
  <si>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</si>
  <si>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</si>
  <si>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</si>
  <si>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</si>
  <si>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</si>
  <si>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</si>
  <si>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</si>
  <si>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November</t>
  </si>
  <si>
    <t>December</t>
  </si>
  <si>
    <t>February</t>
  </si>
  <si>
    <t>Loan info</t>
  </si>
  <si>
    <t>Branch ID</t>
  </si>
  <si>
    <t>Submission date</t>
  </si>
  <si>
    <t>2017/3/23</t>
  </si>
  <si>
    <t>Loan terms</t>
  </si>
  <si>
    <t>Expected disbursement date</t>
  </si>
  <si>
    <t>Expected first repayment date</t>
  </si>
  <si>
    <t>2017/4/23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</si>
  <si>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</si>
  <si>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</si>
  <si>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</si>
  <si>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</si>
  <si>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</si>
  <si>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</si>
  <si>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</si>
  <si>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</si>
  <si>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</si>
  <si>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</si>
  <si>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</si>
  <si>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</si>
  <si>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</si>
  <si>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</si>
  <si>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</si>
  <si>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</si>
  <si>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</si>
  <si>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</si>
  <si>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</si>
  <si>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</si>
  <si>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</si>
  <si>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</si>
  <si>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</si>
  <si>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</si>
  <si>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</si>
  <si>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</si>
  <si>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</si>
  <si>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</si>
  <si>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</si>
  <si>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</si>
  <si>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</si>
  <si>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</si>
  <si>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</si>
  <si>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</si>
  <si>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</si>
  <si>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</si>
  <si>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</si>
  <si>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</si>
  <si>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</si>
  <si>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</si>
  <si>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</si>
  <si>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</si>
  <si>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</si>
  <si>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</si>
  <si>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</si>
  <si>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</si>
  <si>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</si>
  <si>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</si>
  <si>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</si>
  <si>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</si>
  <si>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</si>
  <si>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</si>
  <si>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</si>
  <si>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</si>
  <si>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</si>
  <si>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</si>
  <si>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</si>
  <si>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</si>
  <si>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</si>
  <si>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</si>
  <si>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</si>
  <si>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</si>
  <si>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</si>
  <si>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</si>
  <si>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</si>
  <si>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</si>
  <si>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</si>
  <si>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</si>
  <si>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</si>
  <si>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</si>
  <si>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</si>
  <si>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</si>
  <si>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</si>
  <si>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</si>
  <si>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</si>
  <si>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</si>
  <si>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</si>
  <si>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</si>
  <si>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</si>
  <si>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</si>
  <si>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</si>
  <si>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</si>
  <si>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</si>
  <si>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</si>
  <si>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</si>
  <si>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</si>
  <si>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</si>
  <si>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</si>
  <si>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</si>
  <si>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</si>
  <si>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</si>
  <si>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</si>
  <si>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</si>
  <si>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</si>
  <si>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</si>
  <si>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</si>
  <si>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</si>
  <si>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</si>
  <si>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</si>
  <si>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</si>
  <si>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</si>
  <si>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</si>
  <si>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</si>
  <si>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</si>
  <si>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</si>
  <si>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</si>
  <si>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</si>
  <si>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</si>
  <si>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</si>
  <si>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</si>
  <si>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</si>
  <si>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</si>
  <si>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</si>
  <si>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</si>
  <si>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</si>
  <si>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</si>
  <si>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</si>
  <si>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</si>
  <si>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</si>
  <si>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</si>
  <si>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</si>
  <si>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</si>
  <si>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</si>
  <si>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</si>
  <si>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</si>
  <si>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</si>
  <si>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</si>
  <si>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</si>
  <si>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</si>
  <si>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</si>
  <si>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</si>
  <si>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</si>
  <si>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</si>
  <si>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</si>
  <si>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</si>
  <si>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</si>
  <si>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</si>
  <si>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</si>
  <si>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</si>
  <si>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</si>
  <si>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</si>
  <si>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</si>
  <si>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</si>
  <si>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</si>
  <si>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</si>
  <si>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</si>
  <si>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</si>
  <si>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</si>
  <si>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</si>
  <si>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</si>
  <si>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</si>
  <si>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</si>
  <si>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</si>
  <si>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</si>
  <si>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</si>
  <si>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</si>
  <si>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</si>
  <si>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</si>
  <si>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</si>
  <si>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</si>
  <si>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</si>
  <si>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</si>
  <si>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</si>
  <si>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</si>
  <si>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</si>
  <si>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</si>
  <si>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</si>
  <si>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</si>
  <si>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</si>
  <si>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</si>
  <si>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</si>
  <si>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</si>
  <si>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</si>
  <si>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</si>
  <si>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</si>
  <si>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</si>
  <si>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</si>
  <si>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</si>
  <si>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</si>
  <si>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</si>
  <si>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</si>
  <si>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</si>
  <si>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</si>
  <si>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</si>
  <si>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</si>
  <si>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</si>
  <si>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</si>
  <si>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Sometimes</t>
  </si>
  <si>
    <t>Weeks</t>
  </si>
  <si>
    <t>Yes inorganic fertilizers</t>
  </si>
  <si>
    <t>Yes using a solar pump</t>
  </si>
  <si>
    <t>Shop_common variety</t>
  </si>
  <si>
    <t>Yes without the use of a pump</t>
  </si>
  <si>
    <t>NGO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</si>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</sst>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Cabbages, Tomatoes, Arrowroots,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Goat, Chicken: sale of ex layers</v>
      </c>
    </row>
    <row r="8" spans="1:7">
      <c r="B8" s="1" t="s">
        <v>4</v>
      </c>
      <c r="C8" t="str">
        <f>IF(Inputs!B29="","None",Inputs!B29)</f>
        <v>supply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0.261352785343897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0.003971208736659221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22666.66666666667</v>
      </c>
    </row>
    <row r="17" spans="1:7">
      <c r="B17" s="1" t="s">
        <v>11</v>
      </c>
      <c r="C17" s="36">
        <f>SUM(Output!B6:M6)</f>
        <v>736124.7412857012</v>
      </c>
    </row>
    <row r="18" spans="1:7">
      <c r="B18" s="1" t="s">
        <v>12</v>
      </c>
      <c r="C18" s="36">
        <f>MIN(Output!B6:M6)</f>
        <v>-14173.30642993662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382565.9027925338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5389.193570063362</v>
      </c>
      <c r="C6" s="51">
        <f>C30-C88</f>
        <v>-12035.30642993664</v>
      </c>
      <c r="D6" s="51">
        <f>D30-D88</f>
        <v>-4073.306429936638</v>
      </c>
      <c r="E6" s="51">
        <f>E30-E88</f>
        <v>-14173.30642993662</v>
      </c>
      <c r="F6" s="51">
        <f>F30-F88</f>
        <v>382565.9027925338</v>
      </c>
      <c r="G6" s="51">
        <f>G30-G88</f>
        <v>9389.193570063362</v>
      </c>
      <c r="H6" s="51">
        <f>H30-H88</f>
        <v>9389.193570063362</v>
      </c>
      <c r="I6" s="51">
        <f>I30-I88</f>
        <v>-12035.30642993664</v>
      </c>
      <c r="J6" s="51">
        <f>J30-J88</f>
        <v>-4073.306429936638</v>
      </c>
      <c r="K6" s="51">
        <f>K30-K88</f>
        <v>-14173.30642993662</v>
      </c>
      <c r="L6" s="51">
        <f>L30-L88</f>
        <v>380565.9027925338</v>
      </c>
      <c r="M6" s="51">
        <f>M30-M88</f>
        <v>9389.193570063362</v>
      </c>
      <c r="N6" s="51">
        <f>N30-N88</f>
        <v>5389.193570063362</v>
      </c>
      <c r="O6" s="51">
        <f>O30-O88</f>
        <v>-12035.30642993664</v>
      </c>
      <c r="P6" s="51">
        <f>P30-P88</f>
        <v>-4073.306429936638</v>
      </c>
      <c r="Q6" s="51">
        <f>Q30-Q88</f>
        <v>108326.6935700634</v>
      </c>
      <c r="R6" s="51">
        <f>R30-R88</f>
        <v>382565.9027925338</v>
      </c>
      <c r="S6" s="51">
        <f>S30-S88</f>
        <v>9389.193570063362</v>
      </c>
      <c r="T6" s="51">
        <f>T30-T88</f>
        <v>9389.193570063362</v>
      </c>
      <c r="U6" s="51">
        <f>U30-U88</f>
        <v>-12035.30642993664</v>
      </c>
      <c r="V6" s="51">
        <f>V30-V88</f>
        <v>-4073.306429936638</v>
      </c>
      <c r="W6" s="51">
        <f>W30-W88</f>
        <v>-14173.30642993662</v>
      </c>
      <c r="X6" s="51">
        <f>X30-X88</f>
        <v>380565.9027925338</v>
      </c>
      <c r="Y6" s="51">
        <f>Y30-Y88</f>
        <v>9389.193570063362</v>
      </c>
      <c r="Z6" s="51">
        <f>SUMIF($B$13:$Y$13,"Yes",B6:Y6)</f>
        <v>1594749.482571403</v>
      </c>
      <c r="AA6" s="51">
        <f>AA30-AA88</f>
        <v>736124.7412857017</v>
      </c>
      <c r="AB6" s="51">
        <f>AB30-AB88</f>
        <v>1594749.482571405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28220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57700</v>
      </c>
      <c r="J7" s="80">
        <f>IF(ISERROR(VLOOKUP(MONTH(J5),Inputs!$D$66:$D$71,1,0)),"",INDEX(Inputs!$B$66:$B$71,MATCH(MONTH(Output!J5),Inputs!$D$66:$D$71,0))-INDEX(Inputs!$C$66:$C$71,MATCH(MONTH(Output!J5),Inputs!$D$66:$D$71,0)))</f>
        <v>59740</v>
      </c>
      <c r="K7" s="80">
        <f>IF(ISERROR(VLOOKUP(MONTH(K5),Inputs!$D$66:$D$71,1,0)),"",INDEX(Inputs!$B$66:$B$71,MATCH(MONTH(Output!K5),Inputs!$D$66:$D$71,0))-INDEX(Inputs!$C$66:$C$71,MATCH(MONTH(Output!K5),Inputs!$D$66:$D$71,0)))</f>
        <v>38020</v>
      </c>
      <c r="L7" s="80">
        <f>IF(ISERROR(VLOOKUP(MONTH(L5),Inputs!$D$66:$D$71,1,0)),"",INDEX(Inputs!$B$66:$B$71,MATCH(MONTH(Output!L5),Inputs!$D$66:$D$71,0))-INDEX(Inputs!$C$66:$C$71,MATCH(MONTH(Output!L5),Inputs!$D$66:$D$71,0)))</f>
        <v>19980</v>
      </c>
      <c r="M7" s="80">
        <f>IF(ISERROR(VLOOKUP(MONTH(M5),Inputs!$D$66:$D$71,1,0)),"",INDEX(Inputs!$B$66:$B$71,MATCH(MONTH(Output!M5),Inputs!$D$66:$D$71,0))-INDEX(Inputs!$C$66:$C$71,MATCH(MONTH(Output!M5),Inputs!$D$66:$D$71,0)))</f>
        <v>49810</v>
      </c>
      <c r="N7" s="80">
        <f>IF(ISERROR(VLOOKUP(MONTH(N5),Inputs!$D$66:$D$71,1,0)),"",INDEX(Inputs!$B$66:$B$71,MATCH(MONTH(Output!N5),Inputs!$D$66:$D$71,0))-INDEX(Inputs!$C$66:$C$71,MATCH(MONTH(Output!N5),Inputs!$D$66:$D$71,0)))</f>
        <v>28220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57700</v>
      </c>
      <c r="V7" s="80">
        <f>IF(ISERROR(VLOOKUP(MONTH(V5),Inputs!$D$66:$D$71,1,0)),"",INDEX(Inputs!$B$66:$B$71,MATCH(MONTH(Output!V5),Inputs!$D$66:$D$71,0))-INDEX(Inputs!$C$66:$C$71,MATCH(MONTH(Output!V5),Inputs!$D$66:$D$71,0)))</f>
        <v>59740</v>
      </c>
      <c r="W7" s="80">
        <f>IF(ISERROR(VLOOKUP(MONTH(W5),Inputs!$D$66:$D$71,1,0)),"",INDEX(Inputs!$B$66:$B$71,MATCH(MONTH(Output!W5),Inputs!$D$66:$D$71,0))-INDEX(Inputs!$C$66:$C$71,MATCH(MONTH(Output!W5),Inputs!$D$66:$D$71,0)))</f>
        <v>38020</v>
      </c>
      <c r="X7" s="80">
        <f>IF(ISERROR(VLOOKUP(MONTH(X5),Inputs!$D$66:$D$71,1,0)),"",INDEX(Inputs!$B$66:$B$71,MATCH(MONTH(Output!X5),Inputs!$D$66:$D$71,0))-INDEX(Inputs!$C$66:$C$71,MATCH(MONTH(Output!X5),Inputs!$D$66:$D$71,0)))</f>
        <v>19980</v>
      </c>
      <c r="Y7" s="80">
        <f>IF(ISERROR(VLOOKUP(MONTH(Y5),Inputs!$D$66:$D$71,1,0)),"",INDEX(Inputs!$B$66:$B$71,MATCH(MONTH(Output!Y5),Inputs!$D$66:$D$71,0))-INDEX(Inputs!$C$66:$C$71,MATCH(MONTH(Output!Y5),Inputs!$D$66:$D$71,0)))</f>
        <v>49810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22666.66666666667</v>
      </c>
      <c r="D10" s="37">
        <f>SUMPRODUCT((Calculations!$D$33:$D$84=Output!D5)+0,Calculations!$C$33:$C$84)</f>
        <v>22666.66666666667</v>
      </c>
      <c r="E10" s="37">
        <f>SUMPRODUCT((Calculations!$D$33:$D$84=Output!E5)+0,Calculations!$C$33:$C$84)</f>
        <v>22666.66666666667</v>
      </c>
      <c r="F10" s="37">
        <f>SUMPRODUCT((Calculations!$D$33:$D$84=Output!F5)+0,Calculations!$C$33:$C$84)</f>
        <v>22666.66666666667</v>
      </c>
      <c r="G10" s="37">
        <f>SUMPRODUCT((Calculations!$D$33:$D$84=Output!G5)+0,Calculations!$C$33:$C$84)</f>
        <v>22666.66666666667</v>
      </c>
      <c r="H10" s="37">
        <f>SUMPRODUCT((Calculations!$D$33:$D$84=Output!H5)+0,Calculations!$C$33:$C$84)</f>
        <v>22666.66666666667</v>
      </c>
      <c r="I10" s="37">
        <f>SUMPRODUCT((Calculations!$D$33:$D$84=Output!I5)+0,Calculations!$C$33:$C$84)</f>
        <v>22666.66666666667</v>
      </c>
      <c r="J10" s="37">
        <f>SUMPRODUCT((Calculations!$D$33:$D$84=Output!J5)+0,Calculations!$C$33:$C$84)</f>
        <v>22666.66666666667</v>
      </c>
      <c r="K10" s="37">
        <f>SUMPRODUCT((Calculations!$D$33:$D$84=Output!K5)+0,Calculations!$C$33:$C$84)</f>
        <v>22666.66666666667</v>
      </c>
      <c r="L10" s="37">
        <f>SUMPRODUCT((Calculations!$D$33:$D$84=Output!L5)+0,Calculations!$C$33:$C$84)</f>
        <v>22666.66666666667</v>
      </c>
      <c r="M10" s="37">
        <f>SUMPRODUCT((Calculations!$D$33:$D$84=Output!M5)+0,Calculations!$C$33:$C$84)</f>
        <v>22666.66666666667</v>
      </c>
      <c r="N10" s="37">
        <f>SUMPRODUCT((Calculations!$D$33:$D$84=Output!N5)+0,Calculations!$C$33:$C$84)</f>
        <v>22666.66666666667</v>
      </c>
      <c r="O10" s="37">
        <f>SUMPRODUCT((Calculations!$D$33:$D$84=Output!O5)+0,Calculations!$C$33:$C$84)</f>
        <v>22666.66666666667</v>
      </c>
      <c r="P10" s="37">
        <f>SUMPRODUCT((Calculations!$D$33:$D$84=Output!P5)+0,Calculations!$C$33:$C$84)</f>
        <v>22666.66666666667</v>
      </c>
      <c r="Q10" s="37">
        <f>SUMPRODUCT((Calculations!$D$33:$D$84=Output!Q5)+0,Calculations!$C$33:$C$84)</f>
        <v>22666.66666666667</v>
      </c>
      <c r="R10" s="37">
        <f>SUMPRODUCT((Calculations!$D$33:$D$84=Output!R5)+0,Calculations!$C$33:$C$84)</f>
        <v>22666.66666666667</v>
      </c>
      <c r="S10" s="37">
        <f>SUMPRODUCT((Calculations!$D$33:$D$84=Output!S5)+0,Calculations!$C$33:$C$84)</f>
        <v>22666.66666666667</v>
      </c>
      <c r="T10" s="37">
        <f>SUMPRODUCT((Calculations!$D$33:$D$84=Output!T5)+0,Calculations!$C$33:$C$84)</f>
        <v>22666.66666666667</v>
      </c>
      <c r="U10" s="37">
        <f>SUMPRODUCT((Calculations!$D$33:$D$84=Output!U5)+0,Calculations!$C$33:$C$84)</f>
        <v>22666.66666666667</v>
      </c>
      <c r="V10" s="37">
        <f>SUMPRODUCT((Calculations!$D$33:$D$84=Output!V5)+0,Calculations!$C$33:$C$84)</f>
        <v>22666.66666666667</v>
      </c>
      <c r="W10" s="37">
        <f>SUMPRODUCT((Calculations!$D$33:$D$84=Output!W5)+0,Calculations!$C$33:$C$84)</f>
        <v>22666.66666666667</v>
      </c>
      <c r="X10" s="37">
        <f>SUMPRODUCT((Calculations!$D$33:$D$84=Output!X5)+0,Calculations!$C$33:$C$84)</f>
        <v>22666.66666666667</v>
      </c>
      <c r="Y10" s="37">
        <f>SUMPRODUCT((Calculations!$D$33:$D$84=Output!Y5)+0,Calculations!$C$33:$C$84)</f>
        <v>22666.66666666667</v>
      </c>
      <c r="Z10" s="37">
        <f>SUMIF($B$13:$Y$13,"Yes",B10:Y10)</f>
        <v>521333.3333333335</v>
      </c>
      <c r="AA10" s="37">
        <f>SUM(B10:M10)</f>
        <v>249333.3333333333</v>
      </c>
      <c r="AB10" s="37">
        <f>SUM(B10:Y10)</f>
        <v>521333.3333333335</v>
      </c>
    </row>
    <row r="11" spans="1:30" customHeight="1" ht="15.75">
      <c r="A11" s="43" t="s">
        <v>31</v>
      </c>
      <c r="B11" s="80">
        <f>B6+B9-B10</f>
        <v>405389.1935700633</v>
      </c>
      <c r="C11" s="80">
        <f>C6+C9-C10</f>
        <v>-34701.97309660331</v>
      </c>
      <c r="D11" s="80">
        <f>D6+D9-D10</f>
        <v>-26739.97309660331</v>
      </c>
      <c r="E11" s="80">
        <f>E6+E9-E10</f>
        <v>-36839.97309660329</v>
      </c>
      <c r="F11" s="80">
        <f>F6+F9-F10</f>
        <v>359899.2361258671</v>
      </c>
      <c r="G11" s="80">
        <f>G6+G9-G10</f>
        <v>-13277.47309660331</v>
      </c>
      <c r="H11" s="80">
        <f>H6+H9-H10</f>
        <v>-13277.47309660331</v>
      </c>
      <c r="I11" s="80">
        <f>I6+I9-I10</f>
        <v>-34701.97309660331</v>
      </c>
      <c r="J11" s="80">
        <f>J6+J9-J10</f>
        <v>-26739.97309660331</v>
      </c>
      <c r="K11" s="80">
        <f>K6+K9-K10</f>
        <v>-36839.97309660329</v>
      </c>
      <c r="L11" s="80">
        <f>L6+L9-L10</f>
        <v>357899.2361258671</v>
      </c>
      <c r="M11" s="80">
        <f>M6+M9-M10</f>
        <v>-13277.47309660331</v>
      </c>
      <c r="N11" s="80">
        <f>N6+N9-N10</f>
        <v>-17277.47309660331</v>
      </c>
      <c r="O11" s="80">
        <f>O6+O9-O10</f>
        <v>-34701.97309660331</v>
      </c>
      <c r="P11" s="80">
        <f>P6+P9-P10</f>
        <v>-26739.97309660331</v>
      </c>
      <c r="Q11" s="80">
        <f>Q6+Q9-Q10</f>
        <v>85660.02690339672</v>
      </c>
      <c r="R11" s="80">
        <f>R6+R9-R10</f>
        <v>359899.2361258671</v>
      </c>
      <c r="S11" s="80">
        <f>S6+S9-S10</f>
        <v>-13277.47309660331</v>
      </c>
      <c r="T11" s="80">
        <f>T6+T9-T10</f>
        <v>-13277.47309660331</v>
      </c>
      <c r="U11" s="80">
        <f>U6+U9-U10</f>
        <v>-34701.97309660331</v>
      </c>
      <c r="V11" s="80">
        <f>V6+V9-V10</f>
        <v>-26739.97309660331</v>
      </c>
      <c r="W11" s="80">
        <f>W6+W9-W10</f>
        <v>-36839.97309660329</v>
      </c>
      <c r="X11" s="80">
        <f>X6+X9-X10</f>
        <v>357899.2361258671</v>
      </c>
      <c r="Y11" s="80">
        <f>Y6+Y9-Y10</f>
        <v>-13277.47309660331</v>
      </c>
      <c r="Z11" s="85">
        <f>SUMIF($B$13:$Y$13,"Yes",B11:Y11)</f>
        <v>1473416.149238069</v>
      </c>
      <c r="AA11" s="80">
        <f>SUM(B11:M11)</f>
        <v>886791.4079523679</v>
      </c>
      <c r="AB11" s="46">
        <f>SUM(B11:Y11)</f>
        <v>1473416.149238069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0.05762410747091967</v>
      </c>
      <c r="D12" s="82">
        <f>IF(D13="Yes",IF(SUM($B$10:D10)/(SUM($B$6:D6)+SUM($B$9:D9))&lt;0,999.99,SUM($B$10:D10)/(SUM($B$6:D6)+SUM($B$9:D9))),"")</f>
        <v>0.1164541350884464</v>
      </c>
      <c r="E12" s="82">
        <f>IF(E13="Yes",IF(SUM($B$10:E10)/(SUM($B$6:E6)+SUM($B$9:E9))&lt;0,999.99,SUM($B$10:E10)/(SUM($B$6:E6)+SUM($B$9:E9))),"")</f>
        <v>0.1812814750939627</v>
      </c>
      <c r="F12" s="82">
        <f>IF(F13="Yes",IF(SUM($B$10:F10)/(SUM($B$6:F6)+SUM($B$9:F9))&lt;0,999.99,SUM($B$10:F10)/(SUM($B$6:F6)+SUM($B$9:F9))),"")</f>
        <v>0.1196646118804818</v>
      </c>
      <c r="G12" s="82">
        <f>IF(G13="Yes",IF(SUM($B$10:G10)/(SUM($B$6:G6)+SUM($B$9:G9))&lt;0,999.99,SUM($B$10:G10)/(SUM($B$6:G6)+SUM($B$9:G9))),"")</f>
        <v>0.1477498280072744</v>
      </c>
      <c r="H12" s="82">
        <f>IF(H13="Yes",IF(SUM($B$10:H10)/(SUM($B$6:H6)+SUM($B$9:H9))&lt;0,999.99,SUM($B$10:H10)/(SUM($B$6:H6)+SUM($B$9:H9))),"")</f>
        <v>0.1751558065799799</v>
      </c>
      <c r="I12" s="82">
        <f>IF(I13="Yes",IF(SUM($B$10:I10)/(SUM($B$6:I6)+SUM($B$9:I9))&lt;0,999.99,SUM($B$10:I10)/(SUM($B$6:I6)+SUM($B$9:I9))),"")</f>
        <v>0.2075657929186968</v>
      </c>
      <c r="J12" s="82">
        <f>IF(J13="Yes",IF(SUM($B$10:J10)/(SUM($B$6:J6)+SUM($B$9:J9))&lt;0,999.99,SUM($B$10:J10)/(SUM($B$6:J6)+SUM($B$9:J9))),"")</f>
        <v>0.2384888726996787</v>
      </c>
      <c r="K12" s="82">
        <f>IF(K13="Yes",IF(SUM($B$10:K10)/(SUM($B$6:K6)+SUM($B$9:K9))&lt;0,999.99,SUM($B$10:K10)/(SUM($B$6:K6)+SUM($B$9:K9))),"")</f>
        <v>0.2733962730700779</v>
      </c>
      <c r="L12" s="82">
        <f>IF(L13="Yes",IF(SUM($B$10:L10)/(SUM($B$6:L6)+SUM($B$9:L9))&lt;0,999.99,SUM($B$10:L10)/(SUM($B$6:L6)+SUM($B$9:L9))),"")</f>
        <v>0.2011711329479347</v>
      </c>
      <c r="M12" s="82">
        <f>IF(M13="Yes",IF(SUM($B$10:M10)/(SUM($B$6:M6)+SUM($B$9:M9))&lt;0,999.99,SUM($B$10:M10)/(SUM($B$6:M6)+SUM($B$9:M9))),"")</f>
        <v>0.2194594697860148</v>
      </c>
      <c r="N12" s="82">
        <f>IF(N13="Yes",IF(SUM($B$10:N10)/(SUM($B$6:N6)+SUM($B$9:N9))&lt;0,999.99,SUM($B$10:N10)/(SUM($B$6:N6)+SUM($B$9:N9))),"")</f>
        <v>0.2382800522136144</v>
      </c>
      <c r="O12" s="82">
        <f>IF(O13="Yes",IF(SUM($B$10:O10)/(SUM($B$6:O6)+SUM($B$9:O9))&lt;0,999.99,SUM($B$10:O10)/(SUM($B$6:O6)+SUM($B$9:O9))),"")</f>
        <v>0.2608873326601568</v>
      </c>
      <c r="P12" s="82">
        <f>IF(P13="Yes",IF(SUM($B$10:P10)/(SUM($B$6:P6)+SUM($B$9:P9))&lt;0,999.99,SUM($B$10:P10)/(SUM($B$6:P6)+SUM($B$9:P9))),"")</f>
        <v>0.2819724832743344</v>
      </c>
      <c r="Q12" s="82">
        <f>IF(Q13="Yes",IF(SUM($B$10:Q10)/(SUM($B$6:Q6)+SUM($B$9:Q9))&lt;0,999.99,SUM($B$10:Q10)/(SUM($B$6:Q6)+SUM($B$9:Q9))),"")</f>
        <v>0.2755865906941148</v>
      </c>
      <c r="R12" s="82">
        <f>IF(R13="Yes",IF(SUM($B$10:R10)/(SUM($B$6:R6)+SUM($B$9:R9))&lt;0,999.99,SUM($B$10:R10)/(SUM($B$6:R6)+SUM($B$9:R9))),"")</f>
        <v>0.2243810763766811</v>
      </c>
      <c r="S12" s="82">
        <f>IF(S13="Yes",IF(SUM($B$10:S10)/(SUM($B$6:S6)+SUM($B$9:S9))&lt;0,999.99,SUM($B$10:S10)/(SUM($B$6:S6)+SUM($B$9:S9))),"")</f>
        <v>0.2370279806648726</v>
      </c>
      <c r="T12" s="82">
        <f>IF(T13="Yes",IF(SUM($B$10:T10)/(SUM($B$6:T6)+SUM($B$9:T9))&lt;0,999.99,SUM($B$10:T10)/(SUM($B$6:T6)+SUM($B$9:T9))),"")</f>
        <v>0.2495296388480052</v>
      </c>
      <c r="U12" s="82">
        <f>IF(U13="Yes",IF(SUM($B$10:U10)/(SUM($B$6:U6)+SUM($B$9:U9))&lt;0,999.99,SUM($B$10:U10)/(SUM($B$6:U6)+SUM($B$9:U9))),"")</f>
        <v>0.2653455254142</v>
      </c>
      <c r="V12" s="82">
        <f>IF(V13="Yes",IF(SUM($B$10:V10)/(SUM($B$6:V6)+SUM($B$9:V9))&lt;0,999.99,SUM($B$10:V10)/(SUM($B$6:V6)+SUM($B$9:V9))),"")</f>
        <v>0.2800138232495851</v>
      </c>
      <c r="W12" s="82">
        <f>IF(W13="Yes",IF(SUM($B$10:W10)/(SUM($B$6:W6)+SUM($B$9:W9))&lt;0,999.99,SUM($B$10:W10)/(SUM($B$6:W6)+SUM($B$9:W9))),"")</f>
        <v>0.2966112070746402</v>
      </c>
      <c r="X12" s="82">
        <f>IF(X13="Yes",IF(SUM($B$10:X10)/(SUM($B$6:X6)+SUM($B$9:X9))&lt;0,999.99,SUM($B$10:X10)/(SUM($B$6:X6)+SUM($B$9:X9))),"")</f>
        <v>0.2511718751650373</v>
      </c>
      <c r="Y12" s="82">
        <f>IF(Y13="Yes",IF(SUM($B$10:Y10)/(SUM($B$6:Y6)+SUM($B$9:Y9))&lt;0,999.99,SUM($B$10:Y10)/(SUM($B$6:Y6)+SUM($B$9:Y9))),"")</f>
        <v>0.261352785343897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11971.935045</v>
      </c>
      <c r="C18" s="36">
        <f>O18</f>
        <v>11971.935045</v>
      </c>
      <c r="D18" s="36">
        <f>P18</f>
        <v>11971.935045</v>
      </c>
      <c r="E18" s="36">
        <f>Q18</f>
        <v>11971.935045</v>
      </c>
      <c r="F18" s="36">
        <f>R18</f>
        <v>11971.935045</v>
      </c>
      <c r="G18" s="36">
        <f>S18</f>
        <v>11971.935045</v>
      </c>
      <c r="H18" s="36">
        <f>T18</f>
        <v>11971.935045</v>
      </c>
      <c r="I18" s="36">
        <f>U18</f>
        <v>11971.935045</v>
      </c>
      <c r="J18" s="36">
        <f>V18</f>
        <v>11971.935045</v>
      </c>
      <c r="K18" s="36">
        <f>W18</f>
        <v>11971.935045</v>
      </c>
      <c r="L18" s="36">
        <f>X18</f>
        <v>11971.935045</v>
      </c>
      <c r="M18" s="36">
        <f>Y18</f>
        <v>11971.935045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11971.935045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11971.935045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11971.935045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11971.935045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11971.935045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11971.935045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11971.935045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11971.935045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11971.935045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11971.935045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11971.935045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11971.935045</v>
      </c>
      <c r="Z18" s="36">
        <f>SUMIF($B$13:$Y$13,"Yes",B18:Y18)</f>
        <v>287326.4410799998</v>
      </c>
      <c r="AA18" s="36">
        <f>SUM(B18:M18)</f>
        <v>143663.22054</v>
      </c>
      <c r="AB18" s="36">
        <f>SUM(B18:Y18)</f>
        <v>287326.4410799998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227370.362286391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227370.362286391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227370.362286391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227370.362286391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909481.449145564</v>
      </c>
      <c r="AA19" s="36">
        <f>SUM(B19:M19)</f>
        <v>454740.724572782</v>
      </c>
      <c r="AB19" s="36">
        <f>SUM(B19:Y19)</f>
        <v>909481.449145564</v>
      </c>
      <c r="AC19" s="43"/>
      <c r="AD19" s="43"/>
    </row>
    <row r="20" spans="1:30">
      <c r="A20" t="str">
        <f>IF(Calculations!A6&lt;&gt;Parameters!$A$18,IF(Calculations!A6=0,"",Calculations!A6),Inputs!B9)</f>
        <v>Tomatoes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159268.8469360795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159268.8469360795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159268.8469360795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159268.8469360795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637075.3877443179</v>
      </c>
      <c r="AA20" s="36">
        <f>SUM(B20:M20)</f>
        <v>318537.6938721589</v>
      </c>
      <c r="AB20" s="36">
        <f>SUM(B20:Y20)</f>
        <v>637075.3877443179</v>
      </c>
    </row>
    <row r="21" spans="1:30">
      <c r="A21" t="str">
        <f>IF(Calculations!A7&lt;&gt;Parameters!$A$18,IF(Calculations!A7=0,"",Calculations!A7),Inputs!B10)</f>
        <v>Arrowroots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114052.6315789473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23052.63157894737</v>
      </c>
      <c r="C24" s="36">
        <f>IFERROR(Calculations!$P14/12,"")</f>
        <v>23052.63157894737</v>
      </c>
      <c r="D24" s="36">
        <f>IFERROR(Calculations!$P14/12,"")</f>
        <v>23052.63157894737</v>
      </c>
      <c r="E24" s="36">
        <f>IFERROR(Calculations!$P14/12,"")</f>
        <v>23052.63157894737</v>
      </c>
      <c r="F24" s="36">
        <f>IFERROR(Calculations!$P14/12,"")</f>
        <v>23052.63157894737</v>
      </c>
      <c r="G24" s="36">
        <f>IFERROR(Calculations!$P14/12,"")</f>
        <v>23052.63157894737</v>
      </c>
      <c r="H24" s="36">
        <f>IFERROR(Calculations!$P14/12,"")</f>
        <v>23052.63157894737</v>
      </c>
      <c r="I24" s="36">
        <f>IFERROR(Calculations!$P14/12,"")</f>
        <v>23052.63157894737</v>
      </c>
      <c r="J24" s="36">
        <f>IFERROR(Calculations!$P14/12,"")</f>
        <v>23052.63157894737</v>
      </c>
      <c r="K24" s="36">
        <f>IFERROR(Calculations!$P14/12,"")</f>
        <v>23052.63157894737</v>
      </c>
      <c r="L24" s="36">
        <f>IFERROR(Calculations!$P14/12,"")</f>
        <v>23052.63157894737</v>
      </c>
      <c r="M24" s="36">
        <f>IFERROR(Calculations!$P14/12,"")</f>
        <v>23052.63157894737</v>
      </c>
      <c r="N24" s="36">
        <f>IFERROR(Calculations!$P14/12,"")</f>
        <v>23052.63157894737</v>
      </c>
      <c r="O24" s="36">
        <f>IFERROR(Calculations!$P14/12,"")</f>
        <v>23052.63157894737</v>
      </c>
      <c r="P24" s="36">
        <f>IFERROR(Calculations!$P14/12,"")</f>
        <v>23052.63157894737</v>
      </c>
      <c r="Q24" s="36">
        <f>IFERROR(Calculations!$P14/12,"")</f>
        <v>23052.63157894737</v>
      </c>
      <c r="R24" s="36">
        <f>IFERROR(Calculations!$P14/12,"")</f>
        <v>23052.63157894737</v>
      </c>
      <c r="S24" s="36">
        <f>IFERROR(Calculations!$P14/12,"")</f>
        <v>23052.63157894737</v>
      </c>
      <c r="T24" s="36">
        <f>IFERROR(Calculations!$P14/12,"")</f>
        <v>23052.63157894737</v>
      </c>
      <c r="U24" s="36">
        <f>IFERROR(Calculations!$P14/12,"")</f>
        <v>23052.63157894737</v>
      </c>
      <c r="V24" s="36">
        <f>IFERROR(Calculations!$P14/12,"")</f>
        <v>23052.63157894737</v>
      </c>
      <c r="W24" s="36">
        <f>IFERROR(Calculations!$P14/12,"")</f>
        <v>23052.63157894737</v>
      </c>
      <c r="X24" s="36">
        <f>IFERROR(Calculations!$P14/12,"")</f>
        <v>23052.63157894737</v>
      </c>
      <c r="Y24" s="36">
        <f>IFERROR(Calculations!$P14/12,"")</f>
        <v>23052.63157894737</v>
      </c>
      <c r="Z24" s="36">
        <f>SUMIF($B$13:$Y$13,"Yes",B24:Y24)</f>
        <v>553263.1578947367</v>
      </c>
      <c r="AA24" s="36">
        <f>SUM(B24:M24)</f>
        <v>276631.5789473684</v>
      </c>
      <c r="AB24" s="46">
        <f>SUM(B24:Y24)</f>
        <v>553263.1578947367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3125</v>
      </c>
      <c r="C25" s="36">
        <f>IFERROR(Calculations!$P15/12,"")</f>
        <v>3125</v>
      </c>
      <c r="D25" s="36">
        <f>IFERROR(Calculations!$P15/12,"")</f>
        <v>3125</v>
      </c>
      <c r="E25" s="36">
        <f>IFERROR(Calculations!$P15/12,"")</f>
        <v>3125</v>
      </c>
      <c r="F25" s="36">
        <f>IFERROR(Calculations!$P15/12,"")</f>
        <v>3125</v>
      </c>
      <c r="G25" s="36">
        <f>IFERROR(Calculations!$P15/12,"")</f>
        <v>3125</v>
      </c>
      <c r="H25" s="36">
        <f>IFERROR(Calculations!$P15/12,"")</f>
        <v>3125</v>
      </c>
      <c r="I25" s="36">
        <f>IFERROR(Calculations!$P15/12,"")</f>
        <v>3125</v>
      </c>
      <c r="J25" s="36">
        <f>IFERROR(Calculations!$P15/12,"")</f>
        <v>3125</v>
      </c>
      <c r="K25" s="36">
        <f>IFERROR(Calculations!$P15/12,"")</f>
        <v>3125</v>
      </c>
      <c r="L25" s="36">
        <f>IFERROR(Calculations!$P15/12,"")</f>
        <v>3125</v>
      </c>
      <c r="M25" s="36">
        <f>IFERROR(Calculations!$P15/12,"")</f>
        <v>3125</v>
      </c>
      <c r="N25" s="36">
        <f>IFERROR(Calculations!$P15/12,"")</f>
        <v>3125</v>
      </c>
      <c r="O25" s="36">
        <f>IFERROR(Calculations!$P15/12,"")</f>
        <v>3125</v>
      </c>
      <c r="P25" s="36">
        <f>IFERROR(Calculations!$P15/12,"")</f>
        <v>3125</v>
      </c>
      <c r="Q25" s="36">
        <f>IFERROR(Calculations!$P15/12,"")</f>
        <v>3125</v>
      </c>
      <c r="R25" s="36">
        <f>IFERROR(Calculations!$P15/12,"")</f>
        <v>3125</v>
      </c>
      <c r="S25" s="36">
        <f>IFERROR(Calculations!$P15/12,"")</f>
        <v>3125</v>
      </c>
      <c r="T25" s="36">
        <f>IFERROR(Calculations!$P15/12,"")</f>
        <v>3125</v>
      </c>
      <c r="U25" s="36">
        <f>IFERROR(Calculations!$P15/12,"")</f>
        <v>3125</v>
      </c>
      <c r="V25" s="36">
        <f>IFERROR(Calculations!$P15/12,"")</f>
        <v>3125</v>
      </c>
      <c r="W25" s="36">
        <f>IFERROR(Calculations!$P15/12,"")</f>
        <v>3125</v>
      </c>
      <c r="X25" s="36">
        <f>IFERROR(Calculations!$P15/12,"")</f>
        <v>3125</v>
      </c>
      <c r="Y25" s="36">
        <f>IFERROR(Calculations!$P15/12,"")</f>
        <v>3125</v>
      </c>
      <c r="Z25" s="36">
        <f>SUMIF($B$13:$Y$13,"Yes",B25:Y25)</f>
        <v>75000</v>
      </c>
      <c r="AA25" s="36">
        <f>SUM(B25:M25)</f>
        <v>37500</v>
      </c>
      <c r="AB25" s="46">
        <f>SUM(B25:Y25)</f>
        <v>75000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122500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122500</v>
      </c>
      <c r="AA27" s="36">
        <f>SUM(B27:M27)</f>
        <v>0</v>
      </c>
      <c r="AB27" s="46">
        <f>SUM(B27:Y27)</f>
        <v>122500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1920000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118149.5666239474</v>
      </c>
      <c r="C30" s="19">
        <f>SUM(C18:C29)</f>
        <v>118149.5666239474</v>
      </c>
      <c r="D30" s="19">
        <f>SUM(D18:D29)</f>
        <v>118149.5666239474</v>
      </c>
      <c r="E30" s="19">
        <f>SUM(E18:E29)</f>
        <v>118149.5666239474</v>
      </c>
      <c r="F30" s="19">
        <f>SUM(F18:F29)</f>
        <v>504788.7758464178</v>
      </c>
      <c r="G30" s="19">
        <f>SUM(G18:G29)</f>
        <v>118149.5666239474</v>
      </c>
      <c r="H30" s="19">
        <f>SUM(H18:H29)</f>
        <v>118149.5666239474</v>
      </c>
      <c r="I30" s="19">
        <f>SUM(I18:I29)</f>
        <v>118149.5666239474</v>
      </c>
      <c r="J30" s="19">
        <f>SUM(J18:J29)</f>
        <v>118149.5666239474</v>
      </c>
      <c r="K30" s="19">
        <f>SUM(K18:K29)</f>
        <v>118149.5666239474</v>
      </c>
      <c r="L30" s="19">
        <f>SUM(L18:L29)</f>
        <v>504788.7758464178</v>
      </c>
      <c r="M30" s="19">
        <f>SUM(M18:M29)</f>
        <v>118149.5666239474</v>
      </c>
      <c r="N30" s="19">
        <f>SUM(N18:N29)</f>
        <v>118149.5666239474</v>
      </c>
      <c r="O30" s="19">
        <f>SUM(O18:O29)</f>
        <v>118149.5666239474</v>
      </c>
      <c r="P30" s="19">
        <f>SUM(P18:P29)</f>
        <v>118149.5666239474</v>
      </c>
      <c r="Q30" s="19">
        <f>SUM(Q18:Q29)</f>
        <v>240649.5666239474</v>
      </c>
      <c r="R30" s="19">
        <f>SUM(R18:R29)</f>
        <v>504788.7758464178</v>
      </c>
      <c r="S30" s="19">
        <f>SUM(S18:S29)</f>
        <v>118149.5666239474</v>
      </c>
      <c r="T30" s="19">
        <f>SUM(T18:T29)</f>
        <v>118149.5666239474</v>
      </c>
      <c r="U30" s="19">
        <f>SUM(U18:U29)</f>
        <v>118149.5666239474</v>
      </c>
      <c r="V30" s="19">
        <f>SUM(V18:V29)</f>
        <v>118149.5666239474</v>
      </c>
      <c r="W30" s="19">
        <f>SUM(W18:W29)</f>
        <v>118149.5666239474</v>
      </c>
      <c r="X30" s="19">
        <f>SUM(X18:X29)</f>
        <v>504788.7758464178</v>
      </c>
      <c r="Y30" s="19">
        <f>SUM(Y18:Y29)</f>
        <v>118149.5666239474</v>
      </c>
      <c r="Z30" s="19">
        <f>SUMIF($B$13:$Y$13,"Yes",B30:Y30)</f>
        <v>4504646.435864621</v>
      </c>
      <c r="AA30" s="19">
        <f>SUM(B30:M30)</f>
        <v>2191073.217932309</v>
      </c>
      <c r="AB30" s="19">
        <f>SUM(B30:Y30)</f>
        <v>4504646.435864621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4166.666666666666</v>
      </c>
      <c r="C36" s="36">
        <f>O36</f>
        <v>6166.666666666667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6166.666666666667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4166.666666666666</v>
      </c>
      <c r="O36" s="36">
        <f>SUM(O37:O41)</f>
        <v>6166.666666666667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6166.666666666667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35999.99999999999</v>
      </c>
      <c r="AA36" s="36">
        <f>SUM(B36:M36)</f>
        <v>18000</v>
      </c>
      <c r="AB36" s="36">
        <f>SUM(B36:Y36)</f>
        <v>35999.99999999999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3999.999999999999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4000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4000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4000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4000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16000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Tomatoes</v>
      </c>
      <c r="B39" s="36">
        <f>N39</f>
        <v>0</v>
      </c>
      <c r="C39" s="36">
        <f>O39</f>
        <v>2000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2000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2000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2000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8000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 t="str">
        <f>Calculations!$A$7</f>
        <v>Other crops</v>
      </c>
      <c r="B40" s="36">
        <f>N40</f>
        <v>2000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2000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4000</v>
      </c>
      <c r="AA40" s="36">
        <f>SUM(B40:M40)</f>
        <v>2000</v>
      </c>
      <c r="AB40" s="36">
        <f>SUM(B40:Y40)</f>
        <v>4000</v>
      </c>
      <c r="AC40" s="73"/>
    </row>
    <row r="41" spans="1:30" hidden="true" outlineLevel="1">
      <c r="A41" s="181" t="str">
        <f>Calculations!$A$8</f>
        <v>Other crops</v>
      </c>
      <c r="B41" s="36">
        <f>N41</f>
        <v>2000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2000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4000</v>
      </c>
      <c r="AA41" s="36">
        <f>SUM(B41:M41)</f>
        <v>2000</v>
      </c>
      <c r="AB41" s="36">
        <f>SUM(B41:Y41)</f>
        <v>4000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1962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1962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1962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1962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7848</v>
      </c>
      <c r="AA42" s="36">
        <f>SUM(B42:M42)</f>
        <v>3924</v>
      </c>
      <c r="AB42" s="36">
        <f>SUM(B42:Y42)</f>
        <v>7848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1212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1212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1212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1212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4848</v>
      </c>
      <c r="AA44" s="36">
        <f>SUM(B44:M44)</f>
        <v>2424</v>
      </c>
      <c r="AB44" s="36">
        <f>SUM(B44:Y44)</f>
        <v>4848</v>
      </c>
    </row>
    <row r="45" spans="1:30" hidden="true" outlineLevel="1">
      <c r="A45" s="181" t="str">
        <f>Calculations!$A$6</f>
        <v>Tomatoes</v>
      </c>
      <c r="B45" s="36">
        <f>N45</f>
        <v>0</v>
      </c>
      <c r="C45" s="36">
        <f>O45</f>
        <v>750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750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750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750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3000</v>
      </c>
      <c r="AA45" s="36">
        <f>SUM(B45:M45)</f>
        <v>1500</v>
      </c>
      <c r="AB45" s="36">
        <f>SUM(B45:Y45)</f>
        <v>3000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10100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10100</v>
      </c>
      <c r="L48" s="36">
        <f>X48</f>
        <v>2000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10100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10100</v>
      </c>
      <c r="X48" s="46">
        <f>SUM(X49:X53)</f>
        <v>2000</v>
      </c>
      <c r="Y48" s="46">
        <f>SUM(Y49:Y53)</f>
        <v>0</v>
      </c>
      <c r="Z48" s="46">
        <f>SUMIF($B$13:$Y$13,"Yes",B48:Y48)</f>
        <v>44400</v>
      </c>
      <c r="AA48" s="46">
        <f>SUM(B48:M48)</f>
        <v>22200</v>
      </c>
      <c r="AB48" s="46">
        <f>SUM(B48:Y48)</f>
        <v>44400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2000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2000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4000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5600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5600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5600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5600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22400</v>
      </c>
      <c r="AA50" s="46">
        <f>SUM(B50:M50)</f>
        <v>11200</v>
      </c>
      <c r="AB50" s="46">
        <f>SUM(B50:Y50)</f>
        <v>22400</v>
      </c>
    </row>
    <row r="51" spans="1:30" hidden="true" outlineLevel="1">
      <c r="A51" s="181" t="str">
        <f>Calculations!$A$6</f>
        <v>Tomatoes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4500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4500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4500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4500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18000</v>
      </c>
      <c r="AA51" s="46">
        <f>SUM(B51:M51)</f>
        <v>9000</v>
      </c>
      <c r="AB51" s="46">
        <f>SUM(B51:Y51)</f>
        <v>18000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Tomatoes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583.3333333333334</v>
      </c>
      <c r="C60" s="36">
        <f>O60</f>
        <v>6083.333333333333</v>
      </c>
      <c r="D60" s="36">
        <f>P60</f>
        <v>6083.333333333333</v>
      </c>
      <c r="E60" s="36">
        <f>Q60</f>
        <v>6083.333333333333</v>
      </c>
      <c r="F60" s="36">
        <f>R60</f>
        <v>6083.333333333333</v>
      </c>
      <c r="G60" s="36">
        <f>S60</f>
        <v>583.3333333333334</v>
      </c>
      <c r="H60" s="36">
        <f>T60</f>
        <v>583.3333333333334</v>
      </c>
      <c r="I60" s="36">
        <f>U60</f>
        <v>6083.333333333333</v>
      </c>
      <c r="J60" s="36">
        <f>V60</f>
        <v>6083.333333333333</v>
      </c>
      <c r="K60" s="36">
        <f>W60</f>
        <v>6083.333333333333</v>
      </c>
      <c r="L60" s="36">
        <f>X60</f>
        <v>6083.333333333333</v>
      </c>
      <c r="M60" s="36">
        <f>Y60</f>
        <v>583.3333333333334</v>
      </c>
      <c r="N60" s="46">
        <f>SUM(N61:N65)</f>
        <v>583.3333333333334</v>
      </c>
      <c r="O60" s="46">
        <f>SUM(O61:O65)</f>
        <v>6083.333333333333</v>
      </c>
      <c r="P60" s="46">
        <f>SUM(P61:P65)</f>
        <v>6083.333333333333</v>
      </c>
      <c r="Q60" s="46">
        <f>SUM(Q61:Q65)</f>
        <v>6083.333333333333</v>
      </c>
      <c r="R60" s="46">
        <f>SUM(R61:R65)</f>
        <v>6083.333333333333</v>
      </c>
      <c r="S60" s="46">
        <f>SUM(S61:S65)</f>
        <v>583.3333333333334</v>
      </c>
      <c r="T60" s="46">
        <f>SUM(T61:T65)</f>
        <v>583.3333333333334</v>
      </c>
      <c r="U60" s="46">
        <f>SUM(U61:U65)</f>
        <v>6083.333333333333</v>
      </c>
      <c r="V60" s="46">
        <f>SUM(V61:V65)</f>
        <v>6083.333333333333</v>
      </c>
      <c r="W60" s="46">
        <f>SUM(W61:W65)</f>
        <v>6083.333333333333</v>
      </c>
      <c r="X60" s="46">
        <f>SUM(X61:X65)</f>
        <v>6083.333333333333</v>
      </c>
      <c r="Y60" s="46">
        <f>SUM(Y61:Y65)</f>
        <v>583.3333333333334</v>
      </c>
      <c r="Z60" s="46">
        <f>SUMIF($B$13:$Y$13,"Yes",B60:Y60)</f>
        <v>102000</v>
      </c>
      <c r="AA60" s="46">
        <f>SUM(B60:M60)</f>
        <v>51000</v>
      </c>
      <c r="AB60" s="46">
        <f>SUM(B60:Y60)</f>
        <v>102000</v>
      </c>
    </row>
    <row r="61" spans="1:30" hidden="true" outlineLevel="1">
      <c r="A61" s="181" t="str">
        <f>Calculations!$A$4</f>
        <v>Bananas</v>
      </c>
      <c r="B61" s="36">
        <f>N61</f>
        <v>583.3333333333334</v>
      </c>
      <c r="C61" s="36">
        <f>O61</f>
        <v>583.3333333333334</v>
      </c>
      <c r="D61" s="36">
        <f>P61</f>
        <v>583.3333333333334</v>
      </c>
      <c r="E61" s="36">
        <f>Q61</f>
        <v>583.3333333333334</v>
      </c>
      <c r="F61" s="36">
        <f>R61</f>
        <v>583.3333333333334</v>
      </c>
      <c r="G61" s="36">
        <f>S61</f>
        <v>583.3333333333334</v>
      </c>
      <c r="H61" s="36">
        <f>T61</f>
        <v>583.3333333333334</v>
      </c>
      <c r="I61" s="36">
        <f>U61</f>
        <v>583.3333333333334</v>
      </c>
      <c r="J61" s="36">
        <f>V61</f>
        <v>583.3333333333334</v>
      </c>
      <c r="K61" s="36">
        <f>W61</f>
        <v>583.3333333333334</v>
      </c>
      <c r="L61" s="36">
        <f>X61</f>
        <v>583.3333333333334</v>
      </c>
      <c r="M61" s="36">
        <f>Y61</f>
        <v>583.3333333333334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583.3333333333334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583.3333333333334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583.3333333333334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583.3333333333334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583.3333333333334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583.3333333333334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583.3333333333334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583.3333333333334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583.3333333333334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583.3333333333334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583.3333333333334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583.3333333333334</v>
      </c>
      <c r="Z61" s="46">
        <f>SUMIF($B$13:$Y$13,"Yes",B61:Y61)</f>
        <v>14000</v>
      </c>
      <c r="AA61" s="46">
        <f>SUM(B61:M61)</f>
        <v>6999.999999999999</v>
      </c>
      <c r="AB61" s="46">
        <f>SUM(B61:Y61)</f>
        <v>14000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4000</v>
      </c>
      <c r="D62" s="36">
        <f>P62</f>
        <v>4000</v>
      </c>
      <c r="E62" s="36">
        <f>Q62</f>
        <v>4000</v>
      </c>
      <c r="F62" s="36">
        <f>R62</f>
        <v>4000</v>
      </c>
      <c r="G62" s="36">
        <f>S62</f>
        <v>0</v>
      </c>
      <c r="H62" s="36">
        <f>T62</f>
        <v>0</v>
      </c>
      <c r="I62" s="36">
        <f>U62</f>
        <v>4000</v>
      </c>
      <c r="J62" s="36">
        <f>V62</f>
        <v>4000</v>
      </c>
      <c r="K62" s="36">
        <f>W62</f>
        <v>4000</v>
      </c>
      <c r="L62" s="36">
        <f>X62</f>
        <v>4000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4000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4000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4000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4000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4000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4000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4000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4000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64000</v>
      </c>
      <c r="AA62" s="46">
        <f>SUM(B62:M62)</f>
        <v>32000</v>
      </c>
      <c r="AB62" s="46">
        <f>SUM(B62:Y62)</f>
        <v>64000</v>
      </c>
    </row>
    <row r="63" spans="1:30" hidden="true" outlineLevel="1">
      <c r="A63" s="181" t="str">
        <f>Calculations!$A$6</f>
        <v>Tomatoes</v>
      </c>
      <c r="B63" s="36">
        <f>N63</f>
        <v>0</v>
      </c>
      <c r="C63" s="36">
        <f>O63</f>
        <v>1500</v>
      </c>
      <c r="D63" s="36">
        <f>P63</f>
        <v>1500</v>
      </c>
      <c r="E63" s="36">
        <f>Q63</f>
        <v>1500</v>
      </c>
      <c r="F63" s="36">
        <f>R63</f>
        <v>1500</v>
      </c>
      <c r="G63" s="36">
        <f>S63</f>
        <v>0</v>
      </c>
      <c r="H63" s="36">
        <f>T63</f>
        <v>0</v>
      </c>
      <c r="I63" s="36">
        <f>U63</f>
        <v>1500</v>
      </c>
      <c r="J63" s="36">
        <f>V63</f>
        <v>1500</v>
      </c>
      <c r="K63" s="36">
        <f>W63</f>
        <v>1500</v>
      </c>
      <c r="L63" s="36">
        <f>X63</f>
        <v>1500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1500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1500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1500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1500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1500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1500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1500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1500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24000</v>
      </c>
      <c r="AA63" s="46">
        <f>SUM(B63:M63)</f>
        <v>12000</v>
      </c>
      <c r="AB63" s="46">
        <f>SUM(B63:Y63)</f>
        <v>24000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510.4166666666666</v>
      </c>
      <c r="C66" s="36">
        <f>O66</f>
        <v>8472.916666666666</v>
      </c>
      <c r="D66" s="36">
        <f>P66</f>
        <v>8472.916666666666</v>
      </c>
      <c r="E66" s="36">
        <f>Q66</f>
        <v>8472.916666666666</v>
      </c>
      <c r="F66" s="36">
        <f>R66</f>
        <v>8472.916666666666</v>
      </c>
      <c r="G66" s="36">
        <f>S66</f>
        <v>510.4166666666666</v>
      </c>
      <c r="H66" s="36">
        <f>T66</f>
        <v>510.4166666666666</v>
      </c>
      <c r="I66" s="36">
        <f>U66</f>
        <v>8472.916666666666</v>
      </c>
      <c r="J66" s="36">
        <f>V66</f>
        <v>8472.916666666666</v>
      </c>
      <c r="K66" s="36">
        <f>W66</f>
        <v>8472.916666666666</v>
      </c>
      <c r="L66" s="36">
        <f>X66</f>
        <v>8472.916666666666</v>
      </c>
      <c r="M66" s="36">
        <f>Y66</f>
        <v>510.4166666666666</v>
      </c>
      <c r="N66" s="46">
        <f>SUM(N67:N71)</f>
        <v>510.4166666666666</v>
      </c>
      <c r="O66" s="46">
        <f>SUM(O67:O71)</f>
        <v>8472.916666666666</v>
      </c>
      <c r="P66" s="46">
        <f>SUM(P67:P71)</f>
        <v>8472.916666666666</v>
      </c>
      <c r="Q66" s="46">
        <f>SUM(Q67:Q71)</f>
        <v>8472.916666666666</v>
      </c>
      <c r="R66" s="46">
        <f>SUM(R67:R71)</f>
        <v>8472.916666666666</v>
      </c>
      <c r="S66" s="46">
        <f>SUM(S67:S71)</f>
        <v>510.4166666666666</v>
      </c>
      <c r="T66" s="46">
        <f>SUM(T67:T71)</f>
        <v>510.4166666666666</v>
      </c>
      <c r="U66" s="46">
        <f>SUM(U67:U71)</f>
        <v>8472.916666666666</v>
      </c>
      <c r="V66" s="46">
        <f>SUM(V67:V71)</f>
        <v>8472.916666666666</v>
      </c>
      <c r="W66" s="46">
        <f>SUM(W67:W71)</f>
        <v>8472.916666666666</v>
      </c>
      <c r="X66" s="46">
        <f>SUM(X67:X71)</f>
        <v>8472.916666666666</v>
      </c>
      <c r="Y66" s="46">
        <f>SUM(Y67:Y71)</f>
        <v>510.4166666666666</v>
      </c>
      <c r="Z66" s="46">
        <f>SUMIF($B$13:$Y$13,"Yes",B66:Y66)</f>
        <v>139650</v>
      </c>
      <c r="AA66" s="46">
        <f>SUM(B66:M66)</f>
        <v>69824.99999999999</v>
      </c>
      <c r="AB66" s="46">
        <f>SUM(B66:Y66)</f>
        <v>139650</v>
      </c>
    </row>
    <row r="67" spans="1:30" hidden="true" outlineLevel="1">
      <c r="A67" s="181" t="str">
        <f>Calculations!$A$4</f>
        <v>Bananas</v>
      </c>
      <c r="B67" s="36">
        <f>N67</f>
        <v>510.4166666666666</v>
      </c>
      <c r="C67" s="36">
        <f>O67</f>
        <v>510.4166666666666</v>
      </c>
      <c r="D67" s="36">
        <f>P67</f>
        <v>510.4166666666666</v>
      </c>
      <c r="E67" s="36">
        <f>Q67</f>
        <v>510.4166666666666</v>
      </c>
      <c r="F67" s="36">
        <f>R67</f>
        <v>510.4166666666666</v>
      </c>
      <c r="G67" s="36">
        <f>S67</f>
        <v>510.4166666666666</v>
      </c>
      <c r="H67" s="36">
        <f>T67</f>
        <v>510.4166666666666</v>
      </c>
      <c r="I67" s="36">
        <f>U67</f>
        <v>510.4166666666666</v>
      </c>
      <c r="J67" s="36">
        <f>V67</f>
        <v>510.4166666666666</v>
      </c>
      <c r="K67" s="36">
        <f>W67</f>
        <v>510.4166666666666</v>
      </c>
      <c r="L67" s="36">
        <f>X67</f>
        <v>510.4166666666666</v>
      </c>
      <c r="M67" s="36">
        <f>Y67</f>
        <v>510.4166666666666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510.4166666666666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510.4166666666666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510.4166666666666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510.4166666666666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510.4166666666666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510.4166666666666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510.4166666666666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510.4166666666666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510.4166666666666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510.4166666666666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510.4166666666666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510.4166666666666</v>
      </c>
      <c r="Z67" s="46">
        <f>SUMIF($B$13:$Y$13,"Yes",B67:Y67)</f>
        <v>12250</v>
      </c>
      <c r="AA67" s="46">
        <f>SUM(B67:M67)</f>
        <v>6125</v>
      </c>
      <c r="AB67" s="46">
        <f>SUM(B67:Y67)</f>
        <v>12250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3675</v>
      </c>
      <c r="D68" s="36">
        <f>P68</f>
        <v>3675</v>
      </c>
      <c r="E68" s="36">
        <f>Q68</f>
        <v>3675</v>
      </c>
      <c r="F68" s="36">
        <f>R68</f>
        <v>3675</v>
      </c>
      <c r="G68" s="36">
        <f>S68</f>
        <v>0</v>
      </c>
      <c r="H68" s="36">
        <f>T68</f>
        <v>0</v>
      </c>
      <c r="I68" s="36">
        <f>U68</f>
        <v>3675</v>
      </c>
      <c r="J68" s="36">
        <f>V68</f>
        <v>3675</v>
      </c>
      <c r="K68" s="36">
        <f>W68</f>
        <v>3675</v>
      </c>
      <c r="L68" s="36">
        <f>X68</f>
        <v>3675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3675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3675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3675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3675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3675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3675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3675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3675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58799.99999999999</v>
      </c>
      <c r="AA68" s="46">
        <f>SUM(B68:M68)</f>
        <v>29400</v>
      </c>
      <c r="AB68" s="46">
        <f>SUM(B68:Y68)</f>
        <v>58799.99999999999</v>
      </c>
    </row>
    <row r="69" spans="1:30" hidden="true" outlineLevel="1">
      <c r="A69" s="181" t="str">
        <f>Calculations!$A$6</f>
        <v>Tomatoes</v>
      </c>
      <c r="B69" s="36">
        <f>N69</f>
        <v>0</v>
      </c>
      <c r="C69" s="36">
        <f>O69</f>
        <v>4287.5</v>
      </c>
      <c r="D69" s="36">
        <f>P69</f>
        <v>4287.5</v>
      </c>
      <c r="E69" s="36">
        <f>Q69</f>
        <v>4287.5</v>
      </c>
      <c r="F69" s="36">
        <f>R69</f>
        <v>4287.5</v>
      </c>
      <c r="G69" s="36">
        <f>S69</f>
        <v>0</v>
      </c>
      <c r="H69" s="36">
        <f>T69</f>
        <v>0</v>
      </c>
      <c r="I69" s="36">
        <f>U69</f>
        <v>4287.5</v>
      </c>
      <c r="J69" s="36">
        <f>V69</f>
        <v>4287.5</v>
      </c>
      <c r="K69" s="36">
        <f>W69</f>
        <v>4287.5</v>
      </c>
      <c r="L69" s="36">
        <f>X69</f>
        <v>4287.5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4287.5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4287.5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4287.5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4287.5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4287.5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4287.5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4287.5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4287.5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68600</v>
      </c>
      <c r="AA69" s="46">
        <f>SUM(B69:M69)</f>
        <v>34300</v>
      </c>
      <c r="AB69" s="46">
        <f>SUM(B69:Y69)</f>
        <v>68600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25854.16666666667</v>
      </c>
      <c r="C74" s="46">
        <f>SUM(Calculations!$Q$14:$Q$16)/12</f>
        <v>25854.16666666667</v>
      </c>
      <c r="D74" s="46">
        <f>SUM(Calculations!$Q$14:$Q$16)/12</f>
        <v>25854.16666666667</v>
      </c>
      <c r="E74" s="46">
        <f>SUM(Calculations!$Q$14:$Q$16)/12</f>
        <v>25854.16666666667</v>
      </c>
      <c r="F74" s="46">
        <f>SUM(Calculations!$Q$14:$Q$16)/12</f>
        <v>25854.16666666667</v>
      </c>
      <c r="G74" s="46">
        <f>SUM(Calculations!$Q$14:$Q$16)/12</f>
        <v>25854.16666666667</v>
      </c>
      <c r="H74" s="46">
        <f>SUM(Calculations!$Q$14:$Q$16)/12</f>
        <v>25854.16666666667</v>
      </c>
      <c r="I74" s="46">
        <f>SUM(Calculations!$Q$14:$Q$16)/12</f>
        <v>25854.16666666667</v>
      </c>
      <c r="J74" s="46">
        <f>SUM(Calculations!$Q$14:$Q$16)/12</f>
        <v>25854.16666666667</v>
      </c>
      <c r="K74" s="46">
        <f>SUM(Calculations!$Q$14:$Q$16)/12</f>
        <v>25854.16666666667</v>
      </c>
      <c r="L74" s="46">
        <f>SUM(Calculations!$Q$14:$Q$16)/12</f>
        <v>25854.16666666667</v>
      </c>
      <c r="M74" s="46">
        <f>SUM(Calculations!$Q$14:$Q$16)/12</f>
        <v>25854.16666666667</v>
      </c>
      <c r="N74" s="46">
        <f>SUM(Calculations!$Q$14:$Q$16)/12</f>
        <v>25854.16666666667</v>
      </c>
      <c r="O74" s="46">
        <f>SUM(Calculations!$Q$14:$Q$16)/12</f>
        <v>25854.16666666667</v>
      </c>
      <c r="P74" s="46">
        <f>SUM(Calculations!$Q$14:$Q$16)/12</f>
        <v>25854.16666666667</v>
      </c>
      <c r="Q74" s="46">
        <f>SUM(Calculations!$Q$14:$Q$16)/12</f>
        <v>25854.16666666667</v>
      </c>
      <c r="R74" s="46">
        <f>SUM(Calculations!$Q$14:$Q$16)/12</f>
        <v>25854.16666666667</v>
      </c>
      <c r="S74" s="46">
        <f>SUM(Calculations!$Q$14:$Q$16)/12</f>
        <v>25854.16666666667</v>
      </c>
      <c r="T74" s="46">
        <f>SUM(Calculations!$Q$14:$Q$16)/12</f>
        <v>25854.16666666667</v>
      </c>
      <c r="U74" s="46">
        <f>SUM(Calculations!$Q$14:$Q$16)/12</f>
        <v>25854.16666666667</v>
      </c>
      <c r="V74" s="46">
        <f>SUM(Calculations!$Q$14:$Q$16)/12</f>
        <v>25854.16666666667</v>
      </c>
      <c r="W74" s="46">
        <f>SUM(Calculations!$Q$14:$Q$16)/12</f>
        <v>25854.16666666667</v>
      </c>
      <c r="X74" s="46">
        <f>SUM(Calculations!$Q$14:$Q$16)/12</f>
        <v>25854.16666666667</v>
      </c>
      <c r="Y74" s="46">
        <f>SUM(Calculations!$Q$14:$Q$16)/12</f>
        <v>25854.16666666667</v>
      </c>
      <c r="Z74" s="46">
        <f>SUMIF($B$13:$Y$13,"Yes",B74:Y74)</f>
        <v>620500</v>
      </c>
      <c r="AA74" s="46">
        <f>SUM(B74:M74)</f>
        <v>310250</v>
      </c>
      <c r="AB74" s="46">
        <f>SUM(B74:Y74)</f>
        <v>620500</v>
      </c>
    </row>
    <row r="75" spans="1:30">
      <c r="A75" s="16" t="s">
        <v>47</v>
      </c>
      <c r="B75" s="46">
        <f>SUM(Calculations!$R$14:$R$16)/12</f>
        <v>997.7777777777777</v>
      </c>
      <c r="C75" s="46">
        <f>SUM(Calculations!$R$14:$R$16)/12</f>
        <v>997.7777777777777</v>
      </c>
      <c r="D75" s="46">
        <f>SUM(Calculations!$R$14:$R$16)/12</f>
        <v>997.7777777777777</v>
      </c>
      <c r="E75" s="46">
        <f>SUM(Calculations!$R$14:$R$16)/12</f>
        <v>997.7777777777777</v>
      </c>
      <c r="F75" s="46">
        <f>SUM(Calculations!$R$14:$R$16)/12</f>
        <v>997.7777777777777</v>
      </c>
      <c r="G75" s="46">
        <f>SUM(Calculations!$R$14:$R$16)/12</f>
        <v>997.7777777777777</v>
      </c>
      <c r="H75" s="46">
        <f>SUM(Calculations!$R$14:$R$16)/12</f>
        <v>997.7777777777777</v>
      </c>
      <c r="I75" s="46">
        <f>SUM(Calculations!$R$14:$R$16)/12</f>
        <v>997.7777777777777</v>
      </c>
      <c r="J75" s="46">
        <f>SUM(Calculations!$R$14:$R$16)/12</f>
        <v>997.7777777777777</v>
      </c>
      <c r="K75" s="46">
        <f>SUM(Calculations!$R$14:$R$16)/12</f>
        <v>997.7777777777777</v>
      </c>
      <c r="L75" s="46">
        <f>SUM(Calculations!$R$14:$R$16)/12</f>
        <v>997.7777777777777</v>
      </c>
      <c r="M75" s="46">
        <f>SUM(Calculations!$R$14:$R$16)/12</f>
        <v>997.7777777777777</v>
      </c>
      <c r="N75" s="46">
        <f>SUM(Calculations!$R$14:$R$16)/12</f>
        <v>997.7777777777777</v>
      </c>
      <c r="O75" s="46">
        <f>SUM(Calculations!$R$14:$R$16)/12</f>
        <v>997.7777777777777</v>
      </c>
      <c r="P75" s="46">
        <f>SUM(Calculations!$R$14:$R$16)/12</f>
        <v>997.7777777777777</v>
      </c>
      <c r="Q75" s="46">
        <f>SUM(Calculations!$R$14:$R$16)/12</f>
        <v>997.7777777777777</v>
      </c>
      <c r="R75" s="46">
        <f>SUM(Calculations!$R$14:$R$16)/12</f>
        <v>997.7777777777777</v>
      </c>
      <c r="S75" s="46">
        <f>SUM(Calculations!$R$14:$R$16)/12</f>
        <v>997.7777777777777</v>
      </c>
      <c r="T75" s="46">
        <f>SUM(Calculations!$R$14:$R$16)/12</f>
        <v>997.7777777777777</v>
      </c>
      <c r="U75" s="46">
        <f>SUM(Calculations!$R$14:$R$16)/12</f>
        <v>997.7777777777777</v>
      </c>
      <c r="V75" s="46">
        <f>SUM(Calculations!$R$14:$R$16)/12</f>
        <v>997.7777777777777</v>
      </c>
      <c r="W75" s="46">
        <f>SUM(Calculations!$R$14:$R$16)/12</f>
        <v>997.7777777777777</v>
      </c>
      <c r="X75" s="46">
        <f>SUM(Calculations!$R$14:$R$16)/12</f>
        <v>997.7777777777777</v>
      </c>
      <c r="Y75" s="46">
        <f>SUM(Calculations!$R$14:$R$16)/12</f>
        <v>997.7777777777777</v>
      </c>
      <c r="Z75" s="46">
        <f>SUMIF($B$13:$Y$13,"Yes",B75:Y75)</f>
        <v>23946.66666666666</v>
      </c>
      <c r="AA75" s="46">
        <f>SUM(B75:M75)</f>
        <v>11973.33333333333</v>
      </c>
      <c r="AB75" s="46">
        <f>SUM(B75:Y75)</f>
        <v>23946.66666666666</v>
      </c>
    </row>
    <row r="76" spans="1:30">
      <c r="A76" s="16" t="s">
        <v>48</v>
      </c>
      <c r="B76" s="46">
        <f>SUM(Calculations!$S$14:$S$16)/12</f>
        <v>4752.19298245614</v>
      </c>
      <c r="C76" s="46">
        <f>SUM(Calculations!$S$14:$S$16)/12</f>
        <v>4752.19298245614</v>
      </c>
      <c r="D76" s="46">
        <f>SUM(Calculations!$S$14:$S$16)/12</f>
        <v>4752.19298245614</v>
      </c>
      <c r="E76" s="46">
        <f>SUM(Calculations!$S$14:$S$16)/12</f>
        <v>4752.19298245614</v>
      </c>
      <c r="F76" s="46">
        <f>SUM(Calculations!$S$14:$S$16)/12</f>
        <v>4752.19298245614</v>
      </c>
      <c r="G76" s="46">
        <f>SUM(Calculations!$S$14:$S$16)/12</f>
        <v>4752.19298245614</v>
      </c>
      <c r="H76" s="46">
        <f>SUM(Calculations!$S$14:$S$16)/12</f>
        <v>4752.19298245614</v>
      </c>
      <c r="I76" s="46">
        <f>SUM(Calculations!$S$14:$S$16)/12</f>
        <v>4752.19298245614</v>
      </c>
      <c r="J76" s="46">
        <f>SUM(Calculations!$S$14:$S$16)/12</f>
        <v>4752.19298245614</v>
      </c>
      <c r="K76" s="46">
        <f>SUM(Calculations!$S$14:$S$16)/12</f>
        <v>4752.19298245614</v>
      </c>
      <c r="L76" s="46">
        <f>SUM(Calculations!$S$14:$S$16)/12</f>
        <v>4752.19298245614</v>
      </c>
      <c r="M76" s="46">
        <f>SUM(Calculations!$S$14:$S$16)/12</f>
        <v>4752.19298245614</v>
      </c>
      <c r="N76" s="46">
        <f>SUM(Calculations!$S$14:$S$16)/12</f>
        <v>4752.19298245614</v>
      </c>
      <c r="O76" s="46">
        <f>SUM(Calculations!$S$14:$S$16)/12</f>
        <v>4752.19298245614</v>
      </c>
      <c r="P76" s="46">
        <f>SUM(Calculations!$S$14:$S$16)/12</f>
        <v>4752.19298245614</v>
      </c>
      <c r="Q76" s="46">
        <f>SUM(Calculations!$S$14:$S$16)/12</f>
        <v>4752.19298245614</v>
      </c>
      <c r="R76" s="46">
        <f>SUM(Calculations!$S$14:$S$16)/12</f>
        <v>4752.19298245614</v>
      </c>
      <c r="S76" s="46">
        <f>SUM(Calculations!$S$14:$S$16)/12</f>
        <v>4752.19298245614</v>
      </c>
      <c r="T76" s="46">
        <f>SUM(Calculations!$S$14:$S$16)/12</f>
        <v>4752.19298245614</v>
      </c>
      <c r="U76" s="46">
        <f>SUM(Calculations!$S$14:$S$16)/12</f>
        <v>4752.19298245614</v>
      </c>
      <c r="V76" s="46">
        <f>SUM(Calculations!$S$14:$S$16)/12</f>
        <v>4752.19298245614</v>
      </c>
      <c r="W76" s="46">
        <f>SUM(Calculations!$S$14:$S$16)/12</f>
        <v>4752.19298245614</v>
      </c>
      <c r="X76" s="46">
        <f>SUM(Calculations!$S$14:$S$16)/12</f>
        <v>4752.19298245614</v>
      </c>
      <c r="Y76" s="46">
        <f>SUM(Calculations!$S$14:$S$16)/12</f>
        <v>4752.19298245614</v>
      </c>
      <c r="Z76" s="46">
        <f>SUMIF($B$13:$Y$13,"Yes",B76:Y76)</f>
        <v>114052.6315789473</v>
      </c>
      <c r="AA76" s="46">
        <f>SUM(B76:M76)</f>
        <v>57026.31578947367</v>
      </c>
      <c r="AB76" s="46">
        <f>SUM(B76:Y76)</f>
        <v>114052.6315789473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35000</v>
      </c>
      <c r="C79" s="46">
        <f>Inputs!$B$31</f>
        <v>35000</v>
      </c>
      <c r="D79" s="46">
        <f>Inputs!$B$31</f>
        <v>35000</v>
      </c>
      <c r="E79" s="46">
        <f>Inputs!$B$31</f>
        <v>35000</v>
      </c>
      <c r="F79" s="46">
        <f>Inputs!$B$31</f>
        <v>35000</v>
      </c>
      <c r="G79" s="46">
        <f>Inputs!$B$31</f>
        <v>35000</v>
      </c>
      <c r="H79" s="46">
        <f>Inputs!$B$31</f>
        <v>35000</v>
      </c>
      <c r="I79" s="46">
        <f>Inputs!$B$31</f>
        <v>35000</v>
      </c>
      <c r="J79" s="46">
        <f>Inputs!$B$31</f>
        <v>35000</v>
      </c>
      <c r="K79" s="46">
        <f>Inputs!$B$31</f>
        <v>35000</v>
      </c>
      <c r="L79" s="46">
        <f>Inputs!$B$31</f>
        <v>35000</v>
      </c>
      <c r="M79" s="46">
        <f>Inputs!$B$31</f>
        <v>35000</v>
      </c>
      <c r="N79" s="46">
        <f>Inputs!$B$31</f>
        <v>35000</v>
      </c>
      <c r="O79" s="46">
        <f>Inputs!$B$31</f>
        <v>35000</v>
      </c>
      <c r="P79" s="46">
        <f>Inputs!$B$31</f>
        <v>35000</v>
      </c>
      <c r="Q79" s="46">
        <f>Inputs!$B$31</f>
        <v>35000</v>
      </c>
      <c r="R79" s="46">
        <f>Inputs!$B$31</f>
        <v>35000</v>
      </c>
      <c r="S79" s="46">
        <f>Inputs!$B$31</f>
        <v>35000</v>
      </c>
      <c r="T79" s="46">
        <f>Inputs!$B$31</f>
        <v>35000</v>
      </c>
      <c r="U79" s="46">
        <f>Inputs!$B$31</f>
        <v>35000</v>
      </c>
      <c r="V79" s="46">
        <f>Inputs!$B$31</f>
        <v>35000</v>
      </c>
      <c r="W79" s="46">
        <f>Inputs!$B$31</f>
        <v>35000</v>
      </c>
      <c r="X79" s="46">
        <f>Inputs!$B$31</f>
        <v>35000</v>
      </c>
      <c r="Y79" s="46">
        <f>Inputs!$B$31</f>
        <v>35000</v>
      </c>
      <c r="Z79" s="46">
        <f>SUMIF($B$13:$Y$13,"Yes",B79:Y79)</f>
        <v>840000</v>
      </c>
      <c r="AA79" s="46">
        <f>SUM(B79:M79)</f>
        <v>420000</v>
      </c>
      <c r="AB79" s="46">
        <f>SUM(B79:Y79)</f>
        <v>840000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40895.81896031673</v>
      </c>
      <c r="C81" s="46">
        <f>(SUM($AA$18:$AA$29)-SUM($AA$36,$AA$42,$AA$48,$AA$54,$AA$60,$AA$66,$AA$72:$AA$79))*Parameters!$B$37/12</f>
        <v>40895.81896031673</v>
      </c>
      <c r="D81" s="46">
        <f>(SUM($AA$18:$AA$29)-SUM($AA$36,$AA$42,$AA$48,$AA$54,$AA$60,$AA$66,$AA$72:$AA$79))*Parameters!$B$37/12</f>
        <v>40895.81896031673</v>
      </c>
      <c r="E81" s="46">
        <f>(SUM($AA$18:$AA$29)-SUM($AA$36,$AA$42,$AA$48,$AA$54,$AA$60,$AA$66,$AA$72:$AA$79))*Parameters!$B$37/12</f>
        <v>40895.81896031673</v>
      </c>
      <c r="F81" s="46">
        <f>(SUM($AA$18:$AA$29)-SUM($AA$36,$AA$42,$AA$48,$AA$54,$AA$60,$AA$66,$AA$72:$AA$79))*Parameters!$B$37/12</f>
        <v>40895.81896031673</v>
      </c>
      <c r="G81" s="46">
        <f>(SUM($AA$18:$AA$29)-SUM($AA$36,$AA$42,$AA$48,$AA$54,$AA$60,$AA$66,$AA$72:$AA$79))*Parameters!$B$37/12</f>
        <v>40895.81896031673</v>
      </c>
      <c r="H81" s="46">
        <f>(SUM($AA$18:$AA$29)-SUM($AA$36,$AA$42,$AA$48,$AA$54,$AA$60,$AA$66,$AA$72:$AA$79))*Parameters!$B$37/12</f>
        <v>40895.81896031673</v>
      </c>
      <c r="I81" s="46">
        <f>(SUM($AA$18:$AA$29)-SUM($AA$36,$AA$42,$AA$48,$AA$54,$AA$60,$AA$66,$AA$72:$AA$79))*Parameters!$B$37/12</f>
        <v>40895.81896031673</v>
      </c>
      <c r="J81" s="46">
        <f>(SUM($AA$18:$AA$29)-SUM($AA$36,$AA$42,$AA$48,$AA$54,$AA$60,$AA$66,$AA$72:$AA$79))*Parameters!$B$37/12</f>
        <v>40895.81896031673</v>
      </c>
      <c r="K81" s="46">
        <f>(SUM($AA$18:$AA$29)-SUM($AA$36,$AA$42,$AA$48,$AA$54,$AA$60,$AA$66,$AA$72:$AA$79))*Parameters!$B$37/12</f>
        <v>40895.81896031673</v>
      </c>
      <c r="L81" s="46">
        <f>(SUM($AA$18:$AA$29)-SUM($AA$36,$AA$42,$AA$48,$AA$54,$AA$60,$AA$66,$AA$72:$AA$79))*Parameters!$B$37/12</f>
        <v>40895.81896031673</v>
      </c>
      <c r="M81" s="46">
        <f>(SUM($AA$18:$AA$29)-SUM($AA$36,$AA$42,$AA$48,$AA$54,$AA$60,$AA$66,$AA$72:$AA$79))*Parameters!$B$37/12</f>
        <v>40895.81896031673</v>
      </c>
      <c r="N81" s="46">
        <f>(SUM($AA$18:$AA$29)-SUM($AA$36,$AA$42,$AA$48,$AA$54,$AA$60,$AA$66,$AA$72:$AA$79))*Parameters!$B$37/12</f>
        <v>40895.81896031673</v>
      </c>
      <c r="O81" s="46">
        <f>(SUM($AA$18:$AA$29)-SUM($AA$36,$AA$42,$AA$48,$AA$54,$AA$60,$AA$66,$AA$72:$AA$79))*Parameters!$B$37/12</f>
        <v>40895.81896031673</v>
      </c>
      <c r="P81" s="46">
        <f>(SUM($AA$18:$AA$29)-SUM($AA$36,$AA$42,$AA$48,$AA$54,$AA$60,$AA$66,$AA$72:$AA$79))*Parameters!$B$37/12</f>
        <v>40895.81896031673</v>
      </c>
      <c r="Q81" s="46">
        <f>(SUM($AA$18:$AA$29)-SUM($AA$36,$AA$42,$AA$48,$AA$54,$AA$60,$AA$66,$AA$72:$AA$79))*Parameters!$B$37/12</f>
        <v>40895.81896031673</v>
      </c>
      <c r="R81" s="46">
        <f>(SUM($AA$18:$AA$29)-SUM($AA$36,$AA$42,$AA$48,$AA$54,$AA$60,$AA$66,$AA$72:$AA$79))*Parameters!$B$37/12</f>
        <v>40895.81896031673</v>
      </c>
      <c r="S81" s="46">
        <f>(SUM($AA$18:$AA$29)-SUM($AA$36,$AA$42,$AA$48,$AA$54,$AA$60,$AA$66,$AA$72:$AA$79))*Parameters!$B$37/12</f>
        <v>40895.81896031673</v>
      </c>
      <c r="T81" s="46">
        <f>(SUM($AA$18:$AA$29)-SUM($AA$36,$AA$42,$AA$48,$AA$54,$AA$60,$AA$66,$AA$72:$AA$79))*Parameters!$B$37/12</f>
        <v>40895.81896031673</v>
      </c>
      <c r="U81" s="46">
        <f>(SUM($AA$18:$AA$29)-SUM($AA$36,$AA$42,$AA$48,$AA$54,$AA$60,$AA$66,$AA$72:$AA$79))*Parameters!$B$37/12</f>
        <v>40895.81896031673</v>
      </c>
      <c r="V81" s="46">
        <f>(SUM($AA$18:$AA$29)-SUM($AA$36,$AA$42,$AA$48,$AA$54,$AA$60,$AA$66,$AA$72:$AA$79))*Parameters!$B$37/12</f>
        <v>40895.81896031673</v>
      </c>
      <c r="W81" s="46">
        <f>(SUM($AA$18:$AA$29)-SUM($AA$36,$AA$42,$AA$48,$AA$54,$AA$60,$AA$66,$AA$72:$AA$79))*Parameters!$B$37/12</f>
        <v>40895.81896031673</v>
      </c>
      <c r="X81" s="46">
        <f>(SUM($AA$18:$AA$29)-SUM($AA$36,$AA$42,$AA$48,$AA$54,$AA$60,$AA$66,$AA$72:$AA$79))*Parameters!$B$37/12</f>
        <v>40895.81896031673</v>
      </c>
      <c r="Y81" s="46">
        <f>(SUM($AA$18:$AA$29)-SUM($AA$36,$AA$42,$AA$48,$AA$54,$AA$60,$AA$66,$AA$72:$AA$79))*Parameters!$B$37/12</f>
        <v>40895.81896031673</v>
      </c>
      <c r="Z81" s="46">
        <f>SUMIF($B$13:$Y$13,"Yes",B81:Y81)</f>
        <v>981499.6550476013</v>
      </c>
      <c r="AA81" s="46">
        <f>SUM(B81:M81)</f>
        <v>490749.8275238007</v>
      </c>
      <c r="AB81" s="46">
        <f>SUM(B81:Y81)</f>
        <v>981499.6550476013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112760.373053884</v>
      </c>
      <c r="C88" s="19">
        <f>SUM(C72:C82,C66,C60,C54,C48,C42,C36)</f>
        <v>130184.873053884</v>
      </c>
      <c r="D88" s="19">
        <f>SUM(D72:D82,D66,D60,D54,D48,D42,D36)</f>
        <v>122222.873053884</v>
      </c>
      <c r="E88" s="19">
        <f>SUM(E72:E82,E66,E60,E54,E48,E42,E36)</f>
        <v>132322.873053884</v>
      </c>
      <c r="F88" s="19">
        <f>SUM(F72:F82,F66,F60,F54,F48,F42,F36)</f>
        <v>122222.873053884</v>
      </c>
      <c r="G88" s="19">
        <f>SUM(G72:G82,G66,G60,G54,G48,G42,G36)</f>
        <v>108760.373053884</v>
      </c>
      <c r="H88" s="19">
        <f>SUM(H72:H82,H66,H60,H54,H48,H42,H36)</f>
        <v>108760.373053884</v>
      </c>
      <c r="I88" s="19">
        <f>SUM(I72:I82,I66,I60,I54,I48,I42,I36)</f>
        <v>130184.873053884</v>
      </c>
      <c r="J88" s="19">
        <f>SUM(J72:J82,J66,J60,J54,J48,J42,J36)</f>
        <v>122222.873053884</v>
      </c>
      <c r="K88" s="19">
        <f>SUM(K72:K82,K66,K60,K54,K48,K42,K36)</f>
        <v>132322.873053884</v>
      </c>
      <c r="L88" s="19">
        <f>SUM(L72:L82,L66,L60,L54,L48,L42,L36)</f>
        <v>124222.873053884</v>
      </c>
      <c r="M88" s="19">
        <f>SUM(M72:M82,M66,M60,M54,M48,M42,M36)</f>
        <v>108760.373053884</v>
      </c>
      <c r="N88" s="19">
        <f>SUM(N72:N82,N66,N60,N54,N48,N42,N36)</f>
        <v>112760.373053884</v>
      </c>
      <c r="O88" s="19">
        <f>SUM(O72:O82,O66,O60,O54,O48,O42,O36)</f>
        <v>130184.873053884</v>
      </c>
      <c r="P88" s="19">
        <f>SUM(P72:P82,P66,P60,P54,P48,P42,P36)</f>
        <v>122222.873053884</v>
      </c>
      <c r="Q88" s="19">
        <f>SUM(Q72:Q82,Q66,Q60,Q54,Q48,Q42,Q36)</f>
        <v>132322.873053884</v>
      </c>
      <c r="R88" s="19">
        <f>SUM(R72:R82,R66,R60,R54,R48,R42,R36)</f>
        <v>122222.873053884</v>
      </c>
      <c r="S88" s="19">
        <f>SUM(S72:S82,S66,S60,S54,S48,S42,S36)</f>
        <v>108760.373053884</v>
      </c>
      <c r="T88" s="19">
        <f>SUM(T72:T82,T66,T60,T54,T48,T42,T36)</f>
        <v>108760.373053884</v>
      </c>
      <c r="U88" s="19">
        <f>SUM(U72:U82,U66,U60,U54,U48,U42,U36)</f>
        <v>130184.873053884</v>
      </c>
      <c r="V88" s="19">
        <f>SUM(V72:V82,V66,V60,V54,V48,V42,V36)</f>
        <v>122222.873053884</v>
      </c>
      <c r="W88" s="19">
        <f>SUM(W72:W82,W66,W60,W54,W48,W42,W36)</f>
        <v>132322.873053884</v>
      </c>
      <c r="X88" s="19">
        <f>SUM(X72:X82,X66,X60,X54,X48,X42,X36)</f>
        <v>124222.873053884</v>
      </c>
      <c r="Y88" s="19">
        <f>SUM(Y72:Y82,Y66,Y60,Y54,Y48,Y42,Y36)</f>
        <v>108760.373053884</v>
      </c>
      <c r="Z88" s="19">
        <f>SUMIF($B$13:$Y$13,"Yes",B88:Y88)</f>
        <v>2909896.953293216</v>
      </c>
      <c r="AA88" s="19">
        <f>SUM(B88:M88)</f>
        <v>1454948.476646608</v>
      </c>
      <c r="AB88" s="19">
        <f>SUM(B88:Y88)</f>
        <v>2909896.953293216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495000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99000000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100725000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98</v>
      </c>
      <c r="K8" s="138"/>
      <c r="L8" s="16"/>
      <c r="M8" s="165">
        <v>10</v>
      </c>
      <c r="N8" s="154">
        <v>0</v>
      </c>
    </row>
    <row r="9" spans="1:48">
      <c r="A9" s="143" t="s">
        <v>99</v>
      </c>
      <c r="B9" s="16"/>
      <c r="C9" s="143">
        <v>1</v>
      </c>
      <c r="D9" s="16"/>
      <c r="E9" s="147" t="s">
        <v>96</v>
      </c>
      <c r="F9" s="149" t="s">
        <v>97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10</v>
      </c>
      <c r="N9" s="154">
        <v>0</v>
      </c>
    </row>
    <row r="10" spans="1:48">
      <c r="A10" s="143" t="s">
        <v>100</v>
      </c>
      <c r="B10" s="16" t="s">
        <v>101</v>
      </c>
      <c r="C10" s="143">
        <v>1</v>
      </c>
      <c r="D10" s="16">
        <v>80000</v>
      </c>
      <c r="E10" s="147" t="s">
        <v>96</v>
      </c>
      <c r="F10" s="149" t="s">
        <v>91</v>
      </c>
      <c r="G10" s="147"/>
      <c r="H10" s="147" t="s">
        <v>102</v>
      </c>
      <c r="I10" s="147" t="s">
        <v>93</v>
      </c>
      <c r="J10" s="148" t="s">
        <v>98</v>
      </c>
      <c r="K10" s="138" t="s">
        <v>103</v>
      </c>
      <c r="L10" s="16">
        <v>50</v>
      </c>
      <c r="M10" s="165">
        <v>10</v>
      </c>
      <c r="N10" s="154">
        <v>0</v>
      </c>
    </row>
    <row r="11" spans="1:48">
      <c r="A11" s="144" t="s">
        <v>100</v>
      </c>
      <c r="B11" s="23"/>
      <c r="C11" s="144">
        <v>1</v>
      </c>
      <c r="D11" s="23"/>
      <c r="E11" s="150" t="s">
        <v>96</v>
      </c>
      <c r="F11" s="151" t="s">
        <v>97</v>
      </c>
      <c r="G11" s="150"/>
      <c r="H11" s="150" t="s">
        <v>92</v>
      </c>
      <c r="I11" s="150" t="s">
        <v>93</v>
      </c>
      <c r="J11" s="152" t="s">
        <v>103</v>
      </c>
      <c r="K11" s="119"/>
      <c r="L11" s="23"/>
      <c r="M11" s="167">
        <v>10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700</v>
      </c>
      <c r="D19" s="145">
        <v>200</v>
      </c>
      <c r="E19" s="20"/>
      <c r="F19" s="145" t="s">
        <v>102</v>
      </c>
      <c r="G19" s="20"/>
      <c r="H19" s="20"/>
      <c r="I19" s="145" t="s">
        <v>118</v>
      </c>
      <c r="J19" s="145">
        <v>10</v>
      </c>
      <c r="K19" s="145">
        <v>5</v>
      </c>
      <c r="L19" s="25">
        <v>3</v>
      </c>
    </row>
    <row r="20" spans="1:48">
      <c r="A20" s="143" t="s">
        <v>119</v>
      </c>
      <c r="B20" s="16"/>
      <c r="C20" s="143">
        <v>30</v>
      </c>
      <c r="D20" s="147"/>
      <c r="E20" s="16"/>
      <c r="F20" s="147" t="s">
        <v>102</v>
      </c>
      <c r="G20" s="16"/>
      <c r="H20" s="16"/>
      <c r="I20" s="147" t="s">
        <v>118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30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80000</v>
      </c>
    </row>
    <row r="31" spans="1:48">
      <c r="A31" s="5" t="s">
        <v>126</v>
      </c>
      <c r="B31" s="158">
        <v>35000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92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102</v>
      </c>
    </row>
    <row r="45" spans="1:48">
      <c r="A45" s="56" t="s">
        <v>139</v>
      </c>
      <c r="B45" s="161"/>
    </row>
    <row r="46" spans="1:48" customHeight="1" ht="30">
      <c r="A46" s="57" t="s">
        <v>140</v>
      </c>
      <c r="B46" s="161">
        <v>100000</v>
      </c>
    </row>
    <row r="47" spans="1:48" customHeight="1" ht="30">
      <c r="A47" s="57" t="s">
        <v>141</v>
      </c>
      <c r="B47" s="161">
        <v>100000</v>
      </c>
    </row>
    <row r="48" spans="1:48" customHeight="1" ht="30">
      <c r="A48" s="57" t="s">
        <v>142</v>
      </c>
      <c r="B48" s="161">
        <v>1000000</v>
      </c>
    </row>
    <row r="49" spans="1:48" customHeight="1" ht="30">
      <c r="A49" s="57" t="s">
        <v>143</v>
      </c>
      <c r="B49" s="161">
        <v>30000</v>
      </c>
    </row>
    <row r="50" spans="1:48">
      <c r="A50" s="43"/>
      <c r="B50" s="36"/>
    </row>
    <row r="51" spans="1:48">
      <c r="A51" s="58" t="s">
        <v>144</v>
      </c>
      <c r="B51" s="161">
        <v>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153</v>
      </c>
      <c r="C65" s="10" t="s">
        <v>154</v>
      </c>
    </row>
    <row r="66" spans="1:48">
      <c r="A66" s="142" t="s">
        <v>155</v>
      </c>
      <c r="B66" s="159">
        <v>200350</v>
      </c>
      <c r="C66" s="163">
        <v>142650</v>
      </c>
      <c r="D66" s="49">
        <f>INDEX(Parameters!$D$79:$D$90,MATCH(Inputs!A66,Parameters!$C$79:$C$90,0))</f>
        <v>10</v>
      </c>
    </row>
    <row r="67" spans="1:48">
      <c r="A67" s="143" t="s">
        <v>156</v>
      </c>
      <c r="B67" s="157">
        <v>260420</v>
      </c>
      <c r="C67" s="165">
        <v>200680</v>
      </c>
      <c r="D67" s="49">
        <f>INDEX(Parameters!$D$79:$D$90,MATCH(Inputs!A67,Parameters!$C$79:$C$90,0))</f>
        <v>11</v>
      </c>
    </row>
    <row r="68" spans="1:48">
      <c r="A68" s="143" t="s">
        <v>157</v>
      </c>
      <c r="B68" s="157">
        <v>150600</v>
      </c>
      <c r="C68" s="165">
        <v>112580</v>
      </c>
      <c r="D68" s="49">
        <f>INDEX(Parameters!$D$79:$D$90,MATCH(Inputs!A68,Parameters!$C$79:$C$90,0))</f>
        <v>12</v>
      </c>
    </row>
    <row r="69" spans="1:48">
      <c r="A69" s="143" t="s">
        <v>94</v>
      </c>
      <c r="B69" s="157">
        <v>100510</v>
      </c>
      <c r="C69" s="165">
        <v>80530</v>
      </c>
      <c r="D69" s="49">
        <f>INDEX(Parameters!$D$79:$D$90,MATCH(Inputs!A69,Parameters!$C$79:$C$90,0))</f>
        <v>1</v>
      </c>
    </row>
    <row r="70" spans="1:48">
      <c r="A70" s="143" t="s">
        <v>158</v>
      </c>
      <c r="B70" s="157">
        <v>250350</v>
      </c>
      <c r="C70" s="165">
        <v>200540</v>
      </c>
      <c r="D70" s="49">
        <f>INDEX(Parameters!$D$79:$D$90,MATCH(Inputs!A70,Parameters!$C$79:$C$90,0))</f>
        <v>2</v>
      </c>
    </row>
    <row r="71" spans="1:48">
      <c r="A71" s="144" t="s">
        <v>103</v>
      </c>
      <c r="B71" s="158">
        <v>180850</v>
      </c>
      <c r="C71" s="167">
        <v>152630</v>
      </c>
      <c r="D71" s="49">
        <f>INDEX(Parameters!$D$79:$D$90,MATCH(Inputs!A71,Parameters!$C$79:$C$90,0))</f>
        <v>3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3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400000</v>
      </c>
    </row>
    <row r="82" spans="1:48">
      <c r="A82" t="s">
        <v>168</v>
      </c>
      <c r="B82" s="161">
        <v>18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24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143663.22054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7000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8750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42826</v>
      </c>
      <c r="C5" s="39">
        <f>IFERROR(DATE(YEAR(B5),MONTH(B5)+ROUND(T5/2,0),DAY(B5)),B5)</f>
        <v>42887</v>
      </c>
      <c r="D5" s="39">
        <f>IFERROR(DATE(YEAR(B5),MONTH(B5)+T5,DAY(B5)),"")</f>
        <v>42917</v>
      </c>
      <c r="E5" s="39">
        <f>IFERROR(IF($S5=0,"",IF($S5=2,DATE(YEAR(B5),MONTH(B5)+6,DAY(B5)),IF($S5=1,B5,""))),"")</f>
        <v>43009</v>
      </c>
      <c r="F5" s="39">
        <f>IFERROR(IF($S5=0,"",IF($S5=2,DATE(YEAR(C5),MONTH(C5)+6,DAY(C5)),IF($S5=1,C5,""))),"")</f>
        <v>43070</v>
      </c>
      <c r="G5" s="39">
        <f>IFERROR(IF($S5=0,"",IF($S5=2,DATE(YEAR(D5),MONTH(D5)+6,DAY(D5)),IF($S5=1,D5,""))),"")</f>
        <v>43101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18045.26684812627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454740.724572782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1212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5600</v>
      </c>
      <c r="Z5" s="34">
        <f>IF(Inputs!I8=Parameters!$F$78,H5*INDEX(Parameters!$A$3:$AI$18,MATCH(Calculations!A5,Parameters!$A$3:$A$18,0),MATCH(Parameters!$Q$3,Parameters!$A$3:$AI$3,0)),0)</f>
        <v>16000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21000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Tomatoes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42826</v>
      </c>
      <c r="C6" s="39">
        <f>IFERROR(DATE(YEAR(B6),MONTH(B6)+ROUND(T6/2,0),DAY(B6)),B6)</f>
        <v>42887</v>
      </c>
      <c r="D6" s="39">
        <f>IFERROR(DATE(YEAR(B6),MONTH(B6)+T6,DAY(B6)),"")</f>
        <v>42917</v>
      </c>
      <c r="E6" s="39">
        <f>IFERROR(IF($S6=0,"",IF($S6=2,DATE(YEAR(B6),MONTH(B6)+6,DAY(B6)),IF($S6=1,B6,""))),"")</f>
        <v>43009</v>
      </c>
      <c r="F6" s="39">
        <f>IFERROR(IF($S6=0,"",IF($S6=2,DATE(YEAR(C6),MONTH(C6)+6,DAY(C6)),IF($S6=1,C6,""))),"")</f>
        <v>43070</v>
      </c>
      <c r="G6" s="39">
        <f>IFERROR(IF($S6=0,"",IF($S6=2,DATE(YEAR(D6),MONTH(D6)+6,DAY(D6)),IF($S6=1,D6,""))),"")</f>
        <v>43101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5056.15387098665</v>
      </c>
      <c r="M6" s="30">
        <f>L6*H6</f>
        <v>5056.15387098665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35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318537.6938721589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750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4500</v>
      </c>
      <c r="Z6" s="34">
        <f>IF(Inputs!I9=Parameters!$F$78,H6*INDEX(Parameters!$A$3:$AI$18,MATCH(Calculations!A6,Parameters!$A$3:$A$18,0),MATCH(Parameters!$Q$3,Parameters!$A$3:$AI$3,0)),0)</f>
        <v>6000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24500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42795</v>
      </c>
      <c r="C7" s="39">
        <f>IFERROR(DATE(YEAR(B7),MONTH(B7)+ROUND(T7/2,0),DAY(B7)),B7)</f>
        <v>42795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80000</v>
      </c>
      <c r="M7" s="30">
        <f>L7*H7</f>
        <v>80000</v>
      </c>
      <c r="N7" s="22">
        <f>Calculations!U7</f>
        <v>0.1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50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3600000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6000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42795</v>
      </c>
      <c r="C8" s="40">
        <f>IFERROR(DATE(YEAR(B8),MONTH(B8)+ROUND(T8/2,0),DAY(B8)),B8)</f>
        <v>42795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1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0.1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0.1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2000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6000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105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700</v>
      </c>
      <c r="E14" s="16">
        <f>Inputs!D19</f>
        <v>200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0.1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276631.5789473684</v>
      </c>
      <c r="Q14" s="63">
        <f>IFERROR(D14*INDEX(Parameters!$A$22:$P$29,MATCH(Calculations!$A14,Parameters!$A$22:$A$29,0),MATCH(Parameters!$L$22,Parameters!$A$22:$P$22,0))*IF(Inputs!I19="Always",1,IF(Inputs!I19="Sometimes",0.5,0))*365,"")</f>
        <v>255500</v>
      </c>
      <c r="R14" s="63">
        <f>IFERROR(D14*INDEX(Parameters!$A$22:$P$29,MATCH(Calculations!$A14,Parameters!$A$22:$A$29,0),MATCH(Parameters!$M$22,Parameters!$A$22:$P$22,0)),"")</f>
        <v>5973.333333333333</v>
      </c>
      <c r="S14" s="63">
        <f>IFERROR(D14*INDEX(Parameters!$A$22:$P$29,MATCH(Calculations!$A14,Parameters!$A$22:$A$29,0),MATCH(Parameters!$N$22,Parameters!$A$22:$P$22,0)),"")</f>
        <v>48026.31578947368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30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1.25</v>
      </c>
      <c r="H15" s="121">
        <f>IFERROR(IF(B15="meat",INDEX(Parameters!$A$22:$P$29,MATCH(Calculations!A15,Parameters!$A$22:$A$29,0),MATCH(Parameters!$I$22,Parameters!$A$22:$P$22,0))*G15,""),"")</f>
        <v>10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37500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9000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700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122500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 Gikomba</v>
      </c>
    </row>
    <row r="33" spans="1:52">
      <c r="A33">
        <v>1</v>
      </c>
      <c r="B33" s="128">
        <f>G34</f>
        <v>42848</v>
      </c>
      <c r="C33" s="27">
        <f>IF(B33&lt;&gt;"",IF(COUNT($A$33:A33)&lt;=$G$39,0,$G$41)+IF(COUNT($A$33:A33)&lt;=$G$40,0,$G$42),0)</f>
        <v>22666.66666666667</v>
      </c>
      <c r="D33" s="170">
        <f>IFERROR(DATE(YEAR(B33),MONTH(B33),1)," ")</f>
        <v>42826</v>
      </c>
      <c r="F33" t="s">
        <v>164</v>
      </c>
      <c r="G33" s="128">
        <f>IF(Inputs!B79="","",DATE(YEAR(Inputs!B79),MONTH(Inputs!B79),DAY(Inputs!B79)))</f>
        <v>42817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42878</v>
      </c>
      <c r="C34" s="27">
        <f>IF(B34&lt;&gt;"",IF(COUNT($A$33:A34)&lt;=$G$39,0,$G$41)+IF(COUNT($A$33:A34)&lt;=$G$40,0,$G$42),0)</f>
        <v>22666.66666666667</v>
      </c>
      <c r="D34" s="170">
        <f>IFERROR(DATE(YEAR(B34),MONTH(B34),1)," ")</f>
        <v>42856</v>
      </c>
      <c r="F34" t="s">
        <v>165</v>
      </c>
      <c r="G34" s="128">
        <f>IF(Inputs!B80="","",DATE(YEAR(Inputs!B80),MONTH(Inputs!B80),DAY(Inputs!B80)))</f>
        <v>42848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42909</v>
      </c>
      <c r="C35" s="27">
        <f>IF(B35&lt;&gt;"",IF(COUNT($A$33:A35)&lt;=$G$39,0,$G$41)+IF(COUNT($A$33:A35)&lt;=$G$40,0,$G$42),0)</f>
        <v>22666.66666666667</v>
      </c>
      <c r="D35" s="170">
        <f>IFERROR(DATE(YEAR(B35),MONTH(B35),1)," ")</f>
        <v>42887</v>
      </c>
      <c r="F35" t="s">
        <v>167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42939</v>
      </c>
      <c r="C36" s="27">
        <f>IF(B36&lt;&gt;"",IF(COUNT($A$33:A36)&lt;=$G$39,0,$G$41)+IF(COUNT($A$33:A36)&lt;=$G$40,0,$G$42),0)</f>
        <v>22666.66666666667</v>
      </c>
      <c r="D36" s="170">
        <f>IFERROR(DATE(YEAR(B36),MONTH(B36),1)," ")</f>
        <v>42917</v>
      </c>
      <c r="F36" t="s">
        <v>168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42970</v>
      </c>
      <c r="C37" s="27">
        <f>IF(B37&lt;&gt;"",IF(COUNT($A$33:A37)&lt;=$G$39,0,$G$41)+IF(COUNT($A$33:A37)&lt;=$G$40,0,$G$42),0)</f>
        <v>22666.66666666667</v>
      </c>
      <c r="D37" s="170">
        <f>IFERROR(DATE(YEAR(B37),MONTH(B37),1)," ")</f>
        <v>42948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43001</v>
      </c>
      <c r="C38" s="27">
        <f>IF(B38&lt;&gt;"",IF(COUNT($A$33:A38)&lt;=$G$39,0,$G$41)+IF(COUNT($A$33:A38)&lt;=$G$40,0,$G$42),0)</f>
        <v>22666.66666666667</v>
      </c>
      <c r="D38" s="170">
        <f>IFERROR(DATE(YEAR(B38),MONTH(B38),1)," ")</f>
        <v>42979</v>
      </c>
      <c r="F38" t="s">
        <v>230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43031</v>
      </c>
      <c r="C39" s="27">
        <f>IF(B39&lt;&gt;"",IF(COUNT($A$33:A39)&lt;=$G$39,0,$G$41)+IF(COUNT($A$33:A39)&lt;=$G$40,0,$G$42),0)</f>
        <v>22666.66666666667</v>
      </c>
      <c r="D39" s="170">
        <f>IFERROR(DATE(YEAR(B39),MONTH(B39),1)," ")</f>
        <v>43009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43062</v>
      </c>
      <c r="C40" s="27">
        <f>IF(B40&lt;&gt;"",IF(COUNT($A$33:A40)&lt;=$G$39,0,$G$41)+IF(COUNT($A$33:A40)&lt;=$G$40,0,$G$42),0)</f>
        <v>22666.66666666667</v>
      </c>
      <c r="D40" s="170">
        <f>IFERROR(DATE(YEAR(B40),MONTH(B40),1)," ")</f>
        <v>43040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43092</v>
      </c>
      <c r="C41" s="27">
        <f>IF(B41&lt;&gt;"",IF(COUNT($A$33:A41)&lt;=$G$39,0,$G$41)+IF(COUNT($A$33:A41)&lt;=$G$40,0,$G$42),0)</f>
        <v>22666.66666666667</v>
      </c>
      <c r="D41" s="170">
        <f>IFERROR(DATE(YEAR(B41),MONTH(B41),1)," ")</f>
        <v>43070</v>
      </c>
      <c r="F41" t="s">
        <v>231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43123</v>
      </c>
      <c r="C42" s="27">
        <f>IF(B42&lt;&gt;"",IF(COUNT($A$33:A42)&lt;=$G$39,0,$G$41)+IF(COUNT($A$33:A42)&lt;=$G$40,0,$G$42),0)</f>
        <v>22666.66666666667</v>
      </c>
      <c r="D42" s="170">
        <f>IFERROR(DATE(YEAR(B42),MONTH(B42),1)," ")</f>
        <v>43101</v>
      </c>
      <c r="F42" t="s">
        <v>232</v>
      </c>
      <c r="G42" s="73">
        <f>IFERROR(G35*G36*IF(G37="Monthly",G38/12,IF(G37="Fortnightly",G38/(365/14),G38/(365/28)))/(G38-G40),"")</f>
        <v>6000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43154</v>
      </c>
      <c r="C43" s="27">
        <f>IF(B43&lt;&gt;"",IF(COUNT($A$33:A43)&lt;=$G$39,0,$G$41)+IF(COUNT($A$33:A43)&lt;=$G$40,0,$G$42),0)</f>
        <v>22666.66666666667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43182</v>
      </c>
      <c r="C44" s="27">
        <f>IF(B44&lt;&gt;"",IF(COUNT($A$33:A44)&lt;=$G$39,0,$G$41)+IF(COUNT($A$33:A44)&lt;=$G$40,0,$G$42),0)</f>
        <v>22666.66666666667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43213</v>
      </c>
      <c r="C45" s="27">
        <f>IF(B45&lt;&gt;"",IF(COUNT($A$33:A45)&lt;=$G$39,0,$G$41)+IF(COUNT($A$33:A45)&lt;=$G$40,0,$G$42),0)</f>
        <v>22666.66666666667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43243</v>
      </c>
      <c r="C46" s="27">
        <f>IF(B46&lt;&gt;"",IF(COUNT($A$33:A46)&lt;=$G$39,0,$G$41)+IF(COUNT($A$33:A46)&lt;=$G$40,0,$G$42),0)</f>
        <v>22666.66666666667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43274</v>
      </c>
      <c r="C47" s="27">
        <f>IF(B47&lt;&gt;"",IF(COUNT($A$33:A47)&lt;=$G$39,0,$G$41)+IF(COUNT($A$33:A47)&lt;=$G$40,0,$G$42),0)</f>
        <v>22666.66666666667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43304</v>
      </c>
      <c r="C48" s="27">
        <f>IF(B48&lt;&gt;"",IF(COUNT($A$33:A48)&lt;=$G$39,0,$G$41)+IF(COUNT($A$33:A48)&lt;=$G$40,0,$G$42),0)</f>
        <v>22666.66666666667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43335</v>
      </c>
      <c r="C49" s="27">
        <f>IF(B49&lt;&gt;"",IF(COUNT($A$33:A49)&lt;=$G$39,0,$G$41)+IF(COUNT($A$33:A49)&lt;=$G$40,0,$G$42),0)</f>
        <v>22666.66666666667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43366</v>
      </c>
      <c r="C50" s="27">
        <f>IF(B50&lt;&gt;"",IF(COUNT($A$33:A50)&lt;=$G$39,0,$G$41)+IF(COUNT($A$33:A50)&lt;=$G$40,0,$G$42),0)</f>
        <v>22666.66666666667</v>
      </c>
      <c r="D50" s="170">
        <f>IFERROR(DATE(YEAR(B50),MONTH(B50),1)," ")</f>
        <v>43344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43396</v>
      </c>
      <c r="C51" s="27">
        <f>IF(B51&lt;&gt;"",IF(COUNT($A$33:A51)&lt;=$G$39,0,$G$41)+IF(COUNT($A$33:A51)&lt;=$G$40,0,$G$42),0)</f>
        <v>22666.66666666667</v>
      </c>
      <c r="D51" s="170">
        <f>IFERROR(DATE(YEAR(B51),MONTH(B51),1)," ")</f>
        <v>43374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43427</v>
      </c>
      <c r="C52" s="27">
        <f>IF(B52&lt;&gt;"",IF(COUNT($A$33:A52)&lt;=$G$39,0,$G$41)+IF(COUNT($A$33:A52)&lt;=$G$40,0,$G$42),0)</f>
        <v>22666.66666666667</v>
      </c>
      <c r="D52" s="170">
        <f>IFERROR(DATE(YEAR(B52),MONTH(B52),1)," ")</f>
        <v>43405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43457</v>
      </c>
      <c r="C53" s="27">
        <f>IF(B53&lt;&gt;"",IF(COUNT($A$33:A53)&lt;=$G$39,0,$G$41)+IF(COUNT($A$33:A53)&lt;=$G$40,0,$G$42),0)</f>
        <v>22666.66666666667</v>
      </c>
      <c r="D53" s="170">
        <f>IFERROR(DATE(YEAR(B53),MONTH(B53),1)," ")</f>
        <v>43435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43488</v>
      </c>
      <c r="C54" s="27">
        <f>IF(B54&lt;&gt;"",IF(COUNT($A$33:A54)&lt;=$G$39,0,$G$41)+IF(COUNT($A$33:A54)&lt;=$G$40,0,$G$42),0)</f>
        <v>22666.66666666667</v>
      </c>
      <c r="D54" s="170">
        <f>IFERROR(DATE(YEAR(B54),MONTH(B54),1)," ")</f>
        <v>43466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43519</v>
      </c>
      <c r="C55" s="27">
        <f>IF(B55&lt;&gt;"",IF(COUNT($A$33:A55)&lt;=$G$39,0,$G$41)+IF(COUNT($A$33:A55)&lt;=$G$40,0,$G$42),0)</f>
        <v>22666.66666666667</v>
      </c>
      <c r="D55" s="170">
        <f>IFERROR(DATE(YEAR(B55),MONTH(B55),1)," ")</f>
        <v>43497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43547</v>
      </c>
      <c r="C56" s="27">
        <f>IF(B56&lt;&gt;"",IF(COUNT($A$33:A56)&lt;=$G$39,0,$G$41)+IF(COUNT($A$33:A56)&lt;=$G$40,0,$G$42),0)</f>
        <v>22666.66666666667</v>
      </c>
      <c r="D56" s="170">
        <f>IFERROR(DATE(YEAR(B56),MONTH(B56),1)," ")</f>
        <v>43525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205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117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119</v>
      </c>
      <c r="B27" s="71" t="s">
        <v>297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105</v>
      </c>
      <c r="B41" s="191" t="s">
        <v>102</v>
      </c>
      <c r="C41" s="191" t="s">
        <v>92</v>
      </c>
    </row>
    <row r="42" spans="1:36">
      <c r="A42" t="s">
        <v>117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119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314</v>
      </c>
      <c r="H52" s="12" t="s">
        <v>137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233</v>
      </c>
      <c r="E53" s="10" t="s">
        <v>192</v>
      </c>
      <c r="F53" s="10" t="s">
        <v>252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102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102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102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102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102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102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102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170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229</v>
      </c>
      <c r="J76" s="11" t="s">
        <v>348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102</v>
      </c>
      <c r="F77" s="12" t="s">
        <v>102</v>
      </c>
      <c r="G77" s="12" t="s">
        <v>350</v>
      </c>
      <c r="H77" s="12" t="s">
        <v>137</v>
      </c>
      <c r="I77" s="12" t="s">
        <v>351</v>
      </c>
      <c r="J77" s="136" t="s">
        <v>352</v>
      </c>
      <c r="K77" s="12" t="s">
        <v>102</v>
      </c>
      <c r="AJ77" s="12"/>
    </row>
    <row r="78" spans="1:36">
      <c r="A78" t="s">
        <v>102</v>
      </c>
      <c r="B78" s="176">
        <v>5</v>
      </c>
      <c r="C78" s="134" t="s">
        <v>353</v>
      </c>
      <c r="D78" s="133"/>
      <c r="E78" s="12" t="s">
        <v>91</v>
      </c>
      <c r="F78" s="12" t="s">
        <v>93</v>
      </c>
      <c r="G78" s="12" t="s">
        <v>354</v>
      </c>
      <c r="H78" s="12" t="s">
        <v>315</v>
      </c>
      <c r="I78" s="12" t="s">
        <v>355</v>
      </c>
      <c r="J78" s="70" t="s">
        <v>90</v>
      </c>
      <c r="K78" s="12" t="s">
        <v>102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356</v>
      </c>
      <c r="F79" s="12" t="s">
        <v>357</v>
      </c>
      <c r="G79" s="12" t="s">
        <v>118</v>
      </c>
      <c r="I79" s="12" t="s">
        <v>170</v>
      </c>
      <c r="J79" s="70" t="s">
        <v>358</v>
      </c>
      <c r="K79" s="12" t="s">
        <v>102</v>
      </c>
      <c r="AJ79" s="12"/>
    </row>
    <row r="80" spans="1:36">
      <c r="B80" s="176">
        <v>20</v>
      </c>
      <c r="C80" s="12" t="s">
        <v>158</v>
      </c>
      <c r="D80" s="12">
        <f>D79+1</f>
        <v>2</v>
      </c>
      <c r="E80" s="12" t="s">
        <v>97</v>
      </c>
      <c r="F80" s="12" t="s">
        <v>359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103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98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