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<sst xmlns="http://schemas.openxmlformats.org/spreadsheetml/2006/main" uniqueCount="376">
  <si>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</si>
  <si>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</si>
  <si>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</si>
  <si>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</si>
  <si>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</si>
  <si>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</si>
  <si>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</si>
  <si>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</si>
  <si>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</si>
  <si>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</si>
  <si>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</si>
  <si>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</si>
  <si>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</si>
  <si>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</si>
  <si>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</si>
  <si>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</si>
  <si>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</si>
  <si>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</si>
  <si>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</si>
  <si>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</si>
  <si>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</si>
  <si>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</si>
  <si>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</si>
  <si>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</si>
  <si>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</si>
  <si>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</si>
  <si>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</si>
  <si>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</si>
  <si>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</si>
  <si>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</si>
  <si>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</si>
  <si>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</si>
  <si>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</si>
  <si>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</si>
  <si>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</si>
  <si>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</si>
  <si>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</si>
  <si>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</si>
  <si>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</si>
  <si>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</si>
  <si>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</si>
  <si>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</si>
  <si>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</si>
  <si>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</si>
  <si>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</si>
  <si>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</si>
  <si>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</si>
  <si>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</si>
  <si>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</si>
  <si>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</si>
  <si>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</si>
  <si>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</si>
  <si>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</si>
  <si>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</si>
  <si>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</si>
  <si>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</si>
  <si>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</si>
  <si>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</si>
  <si>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</si>
  <si>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</si>
  <si>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</si>
  <si>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</si>
  <si>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</si>
  <si>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</si>
  <si>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</si>
  <si>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</si>
  <si>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</si>
  <si>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</si>
  <si>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</si>
  <si>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</si>
  <si>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</si>
  <si>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</si>
  <si>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</si>
  <si>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</si>
  <si>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</si>
  <si>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</si>
  <si>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</si>
  <si>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</si>
  <si>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</si>
  <si>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</si>
  <si>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</si>
  <si>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</si>
  <si>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</si>
  <si>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</si>
  <si>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</si>
  <si>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</si>
  <si>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</si>
  <si>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</si>
  <si>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</si>
  <si>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</si>
  <si>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</si>
  <si>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</si>
  <si>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</si>
  <si>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</si>
  <si>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</si>
  <si>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</si>
  <si>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</si>
  <si>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</si>
  <si>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</si>
  <si>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</si>
  <si>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</si>
  <si>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</si>
  <si>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</si>
  <si>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</si>
  <si>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</si>
  <si>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Goat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</si>
  <si>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</si>
  <si>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</si>
  <si>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</si>
  <si>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</si>
  <si>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</si>
  <si>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</si>
  <si>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Vetinery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</si>
  <si>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</si>
  <si>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</si>
  <si>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</si>
  <si>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</si>
  <si>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</si>
  <si>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</si>
  <si>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</si>
  <si>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</si>
  <si>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</si>
  <si>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</si>
  <si>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</si>
  <si>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</si>
  <si>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</si>
  <si>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</si>
  <si>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</si>
  <si>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</si>
  <si>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</si>
  <si>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</si>
  <si>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</si>
  <si>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</si>
  <si>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</si>
  <si>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</si>
  <si>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</si>
  <si>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</si>
  <si>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</si>
  <si>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</si>
  <si>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</si>
  <si>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</si>
  <si>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2/1/17</t>
  </si>
  <si>
    <t>M/Banking</t>
  </si>
  <si>
    <t>Well Serviced</t>
  </si>
  <si>
    <t>5/24/16</t>
  </si>
  <si>
    <t>Co-op</t>
  </si>
  <si>
    <t>Well serviced</t>
  </si>
  <si>
    <t>11/12/15</t>
  </si>
  <si>
    <t>12/30/16</t>
  </si>
  <si>
    <t>Musoni</t>
  </si>
  <si>
    <t>67%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</si>
  <si>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</si>
  <si>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</si>
  <si>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</si>
  <si>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</si>
  <si>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</si>
  <si>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</si>
  <si>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January</t>
  </si>
  <si>
    <t>March</t>
  </si>
  <si>
    <t>Loan info</t>
  </si>
  <si>
    <t>Branch ID</t>
  </si>
  <si>
    <t>Submission date</t>
  </si>
  <si>
    <t>2017/3/28</t>
  </si>
  <si>
    <t>Loan terms</t>
  </si>
  <si>
    <t>Expected disbursement date</t>
  </si>
  <si>
    <t>2017/4/3</t>
  </si>
  <si>
    <t>Expected first repayment date</t>
  </si>
  <si>
    <t>2017/5/10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</si>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</sst>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Chicken_broilers, Chicken: sale of ex layers</v>
      </c>
    </row>
    <row r="8" spans="1:7">
      <c r="B8" s="1" t="s">
        <v>4</v>
      </c>
      <c r="C8" t="str">
        <f>IF(Inputs!B29="","None",Inputs!B29)</f>
        <v>Vetinery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0.06262888803977011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0.272478627045924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2646007.40299947</v>
      </c>
    </row>
    <row r="18" spans="1:7">
      <c r="B18" s="1" t="s">
        <v>12</v>
      </c>
      <c r="C18" s="36">
        <f>MIN(Output!B6:M6)</f>
        <v>170075.3415855919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229691.725005281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158100</v>
      </c>
    </row>
    <row r="25" spans="1:7">
      <c r="B25" s="1" t="s">
        <v>18</v>
      </c>
      <c r="C25" s="36">
        <f>MAX(Inputs!A56:A60)</f>
        <v>320000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229691.725005281</v>
      </c>
      <c r="C6" s="51">
        <f>C30-C88</f>
        <v>229691.725005281</v>
      </c>
      <c r="D6" s="51">
        <f>D30-D88</f>
        <v>229691.725005281</v>
      </c>
      <c r="E6" s="51">
        <f>E30-E88</f>
        <v>229691.725005281</v>
      </c>
      <c r="F6" s="51">
        <f>F30-F88</f>
        <v>229691.725005281</v>
      </c>
      <c r="G6" s="51">
        <f>G30-G88</f>
        <v>229691.725005281</v>
      </c>
      <c r="H6" s="51">
        <f>H30-H88</f>
        <v>229691.725005281</v>
      </c>
      <c r="I6" s="51">
        <f>I30-I88</f>
        <v>229691.725005281</v>
      </c>
      <c r="J6" s="51">
        <f>J30-J88</f>
        <v>229691.725005281</v>
      </c>
      <c r="K6" s="51">
        <f>K30-K88</f>
        <v>229691.725005281</v>
      </c>
      <c r="L6" s="51">
        <f>L30-L88</f>
        <v>170075.3415855919</v>
      </c>
      <c r="M6" s="51">
        <f>M30-M88</f>
        <v>179014.8113610669</v>
      </c>
      <c r="N6" s="51">
        <f>N30-N88</f>
        <v>239014.8113610669</v>
      </c>
      <c r="O6" s="51">
        <f>O30-O88</f>
        <v>239014.8113610669</v>
      </c>
      <c r="P6" s="51">
        <f>P30-P88</f>
        <v>239014.8113610669</v>
      </c>
      <c r="Q6" s="51">
        <f>Q30-Q88</f>
        <v>239014.8113610669</v>
      </c>
      <c r="R6" s="51">
        <f>R30-R88</f>
        <v>239014.8113610669</v>
      </c>
      <c r="S6" s="51">
        <f>S30-S88</f>
        <v>396514.8113610669</v>
      </c>
      <c r="T6" s="51">
        <f>T30-T88</f>
        <v>239014.8113610669</v>
      </c>
      <c r="U6" s="51">
        <f>U30-U88</f>
        <v>239014.8113610669</v>
      </c>
      <c r="V6" s="51">
        <f>V30-V88</f>
        <v>239014.8113610669</v>
      </c>
      <c r="W6" s="51">
        <f>W30-W88</f>
        <v>239014.8113610669</v>
      </c>
      <c r="X6" s="51">
        <f>X30-X88</f>
        <v>239014.8113610669</v>
      </c>
      <c r="Y6" s="51">
        <f>Y30-Y88</f>
        <v>239014.8113610669</v>
      </c>
      <c r="Z6" s="51">
        <f>SUMIF($B$13:$Y$13,"Yes",B6:Y6)</f>
        <v>5671685.139332274</v>
      </c>
      <c r="AA6" s="51">
        <f>AA30-AA88</f>
        <v>2646007.402999469</v>
      </c>
      <c r="AB6" s="51">
        <f>AB30-AB88</f>
        <v>5671685.139332266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62225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86301</v>
      </c>
      <c r="J7" s="80">
        <f>IF(ISERROR(VLOOKUP(MONTH(J5),Inputs!$D$66:$D$71,1,0)),"",INDEX(Inputs!$B$66:$B$71,MATCH(MONTH(Output!J5),Inputs!$D$66:$D$71,0))-INDEX(Inputs!$C$66:$C$71,MATCH(MONTH(Output!J5),Inputs!$D$66:$D$71,0)))</f>
        <v>56371</v>
      </c>
      <c r="K7" s="80">
        <f>IF(ISERROR(VLOOKUP(MONTH(K5),Inputs!$D$66:$D$71,1,0)),"",INDEX(Inputs!$B$66:$B$71,MATCH(MONTH(Output!K5),Inputs!$D$66:$D$71,0))-INDEX(Inputs!$C$66:$C$71,MATCH(MONTH(Output!K5),Inputs!$D$66:$D$71,0)))</f>
        <v>67498</v>
      </c>
      <c r="L7" s="80">
        <f>IF(ISERROR(VLOOKUP(MONTH(L5),Inputs!$D$66:$D$71,1,0)),"",INDEX(Inputs!$B$66:$B$71,MATCH(MONTH(Output!L5),Inputs!$D$66:$D$71,0))-INDEX(Inputs!$C$66:$C$71,MATCH(MONTH(Output!L5),Inputs!$D$66:$D$71,0)))</f>
        <v>108114</v>
      </c>
      <c r="M7" s="80">
        <f>IF(ISERROR(VLOOKUP(MONTH(M5),Inputs!$D$66:$D$71,1,0)),"",INDEX(Inputs!$B$66:$B$71,MATCH(MONTH(Output!M5),Inputs!$D$66:$D$71,0))-INDEX(Inputs!$C$66:$C$71,MATCH(MONTH(Output!M5),Inputs!$D$66:$D$71,0)))</f>
        <v>55574</v>
      </c>
      <c r="N7" s="80">
        <f>IF(ISERROR(VLOOKUP(MONTH(N5),Inputs!$D$66:$D$71,1,0)),"",INDEX(Inputs!$B$66:$B$71,MATCH(MONTH(Output!N5),Inputs!$D$66:$D$71,0))-INDEX(Inputs!$C$66:$C$71,MATCH(MONTH(Output!N5),Inputs!$D$66:$D$71,0)))</f>
        <v>62225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86301</v>
      </c>
      <c r="V7" s="80">
        <f>IF(ISERROR(VLOOKUP(MONTH(V5),Inputs!$D$66:$D$71,1,0)),"",INDEX(Inputs!$B$66:$B$71,MATCH(MONTH(Output!V5),Inputs!$D$66:$D$71,0))-INDEX(Inputs!$C$66:$C$71,MATCH(MONTH(Output!V5),Inputs!$D$66:$D$71,0)))</f>
        <v>56371</v>
      </c>
      <c r="W7" s="80">
        <f>IF(ISERROR(VLOOKUP(MONTH(W5),Inputs!$D$66:$D$71,1,0)),"",INDEX(Inputs!$B$66:$B$71,MATCH(MONTH(Output!W5),Inputs!$D$66:$D$71,0))-INDEX(Inputs!$C$66:$C$71,MATCH(MONTH(Output!W5),Inputs!$D$66:$D$71,0)))</f>
        <v>67498</v>
      </c>
      <c r="X7" s="80">
        <f>IF(ISERROR(VLOOKUP(MONTH(X5),Inputs!$D$66:$D$71,1,0)),"",INDEX(Inputs!$B$66:$B$71,MATCH(MONTH(Output!X5),Inputs!$D$66:$D$71,0))-INDEX(Inputs!$C$66:$C$71,MATCH(MONTH(Output!X5),Inputs!$D$66:$D$71,0)))</f>
        <v>108114</v>
      </c>
      <c r="Y7" s="80">
        <f>IF(ISERROR(VLOOKUP(MONTH(Y5),Inputs!$D$66:$D$71,1,0)),"",INDEX(Inputs!$B$66:$B$71,MATCH(MONTH(Output!Y5),Inputs!$D$66:$D$71,0))-INDEX(Inputs!$C$66:$C$71,MATCH(MONTH(Output!Y5),Inputs!$D$66:$D$71,0)))</f>
        <v>55574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300000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374000</v>
      </c>
      <c r="AA10" s="37">
        <f>SUM(B10:M10)</f>
        <v>170000</v>
      </c>
      <c r="AB10" s="37">
        <f>SUM(B10:Y10)</f>
        <v>374000</v>
      </c>
    </row>
    <row r="11" spans="1:30" customHeight="1" ht="15.75">
      <c r="A11" s="43" t="s">
        <v>31</v>
      </c>
      <c r="B11" s="80">
        <f>B6+B9-B10</f>
        <v>229691.725005281</v>
      </c>
      <c r="C11" s="80">
        <f>C6+C9-C10</f>
        <v>529691.725005281</v>
      </c>
      <c r="D11" s="80">
        <f>D6+D9-D10</f>
        <v>212691.725005281</v>
      </c>
      <c r="E11" s="80">
        <f>E6+E9-E10</f>
        <v>212691.725005281</v>
      </c>
      <c r="F11" s="80">
        <f>F6+F9-F10</f>
        <v>212691.725005281</v>
      </c>
      <c r="G11" s="80">
        <f>G6+G9-G10</f>
        <v>212691.725005281</v>
      </c>
      <c r="H11" s="80">
        <f>H6+H9-H10</f>
        <v>212691.725005281</v>
      </c>
      <c r="I11" s="80">
        <f>I6+I9-I10</f>
        <v>212691.725005281</v>
      </c>
      <c r="J11" s="80">
        <f>J6+J9-J10</f>
        <v>212691.725005281</v>
      </c>
      <c r="K11" s="80">
        <f>K6+K9-K10</f>
        <v>212691.725005281</v>
      </c>
      <c r="L11" s="80">
        <f>L6+L9-L10</f>
        <v>153075.3415855919</v>
      </c>
      <c r="M11" s="80">
        <f>M6+M9-M10</f>
        <v>162014.8113610669</v>
      </c>
      <c r="N11" s="80">
        <f>N6+N9-N10</f>
        <v>222014.8113610669</v>
      </c>
      <c r="O11" s="80">
        <f>O6+O9-O10</f>
        <v>222014.8113610669</v>
      </c>
      <c r="P11" s="80">
        <f>P6+P9-P10</f>
        <v>222014.8113610669</v>
      </c>
      <c r="Q11" s="80">
        <f>Q6+Q9-Q10</f>
        <v>222014.8113610669</v>
      </c>
      <c r="R11" s="80">
        <f>R6+R9-R10</f>
        <v>222014.8113610669</v>
      </c>
      <c r="S11" s="80">
        <f>S6+S9-S10</f>
        <v>379514.8113610669</v>
      </c>
      <c r="T11" s="80">
        <f>T6+T9-T10</f>
        <v>222014.8113610669</v>
      </c>
      <c r="U11" s="80">
        <f>U6+U9-U10</f>
        <v>222014.8113610669</v>
      </c>
      <c r="V11" s="80">
        <f>V6+V9-V10</f>
        <v>222014.8113610669</v>
      </c>
      <c r="W11" s="80">
        <f>W6+W9-W10</f>
        <v>222014.8113610669</v>
      </c>
      <c r="X11" s="80">
        <f>X6+X9-X10</f>
        <v>222014.8113610669</v>
      </c>
      <c r="Y11" s="80">
        <f>Y6+Y9-Y10</f>
        <v>222014.8113610669</v>
      </c>
      <c r="Z11" s="85">
        <f>SUMIF($B$13:$Y$13,"Yes",B11:Y11)</f>
        <v>5597685.139332274</v>
      </c>
      <c r="AA11" s="80">
        <f>SUM(B11:M11)</f>
        <v>2776007.40299947</v>
      </c>
      <c r="AB11" s="46">
        <f>SUM(B11:Y11)</f>
        <v>5597685.139332274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0.01718777341644197</v>
      </c>
      <c r="E12" s="82">
        <f>IF(E13="Yes",IF(SUM($B$10:E10)/(SUM($B$6:E6)+SUM($B$9:E9))&lt;0,999.99,SUM($B$10:E10)/(SUM($B$6:E6)+SUM($B$9:E9))),"")</f>
        <v>0.0278970490578721</v>
      </c>
      <c r="F12" s="82">
        <f>IF(F13="Yes",IF(SUM($B$10:F10)/(SUM($B$6:F6)+SUM($B$9:F9))&lt;0,999.99,SUM($B$10:F10)/(SUM($B$6:F6)+SUM($B$9:F9))),"")</f>
        <v>0.03520984246206568</v>
      </c>
      <c r="G12" s="82">
        <f>IF(G13="Yes",IF(SUM($B$10:G10)/(SUM($B$6:G6)+SUM($B$9:G9))&lt;0,999.99,SUM($B$10:G10)/(SUM($B$6:G6)+SUM($B$9:G9))),"")</f>
        <v>0.04052080315611532</v>
      </c>
      <c r="H12" s="82">
        <f>IF(H13="Yes",IF(SUM($B$10:H10)/(SUM($B$6:H6)+SUM($B$9:H9))&lt;0,999.99,SUM($B$10:H10)/(SUM($B$6:H6)+SUM($B$9:H9))),"")</f>
        <v>0.04455295389077368</v>
      </c>
      <c r="I12" s="82">
        <f>IF(I13="Yes",IF(SUM($B$10:I10)/(SUM($B$6:I6)+SUM($B$9:I9))&lt;0,999.99,SUM($B$10:I10)/(SUM($B$6:I6)+SUM($B$9:I9))),"")</f>
        <v>0.04771854367775796</v>
      </c>
      <c r="J12" s="82">
        <f>IF(J13="Yes",IF(SUM($B$10:J10)/(SUM($B$6:J6)+SUM($B$9:J9))&lt;0,999.99,SUM($B$10:J10)/(SUM($B$6:J6)+SUM($B$9:J9))),"")</f>
        <v>0.05026981955916966</v>
      </c>
      <c r="K12" s="82">
        <f>IF(K13="Yes",IF(SUM($B$10:K10)/(SUM($B$6:K6)+SUM($B$9:K9))&lt;0,999.99,SUM($B$10:K10)/(SUM($B$6:K6)+SUM($B$9:K9))),"")</f>
        <v>0.05236978575163852</v>
      </c>
      <c r="L12" s="82">
        <f>IF(L13="Yes",IF(SUM($B$10:L10)/(SUM($B$6:L6)+SUM($B$9:L9))&lt;0,999.99,SUM($B$10:L10)/(SUM($B$6:L6)+SUM($B$9:L9))),"")</f>
        <v>0.05529469087208687</v>
      </c>
      <c r="M12" s="82">
        <f>IF(M13="Yes",IF(SUM($B$10:M10)/(SUM($B$6:M6)+SUM($B$9:M9))&lt;0,999.99,SUM($B$10:M10)/(SUM($B$6:M6)+SUM($B$9:M9))),"")</f>
        <v>0.05770521819697905</v>
      </c>
      <c r="N12" s="82">
        <f>IF(N13="Yes",IF(SUM($B$10:N10)/(SUM($B$6:N6)+SUM($B$9:N9))&lt;0,999.99,SUM($B$10:N10)/(SUM($B$6:N6)+SUM($B$9:N9))),"")</f>
        <v>0.05871230635593678</v>
      </c>
      <c r="O12" s="82">
        <f>IF(O13="Yes",IF(SUM($B$10:O10)/(SUM($B$6:O6)+SUM($B$9:O9))&lt;0,999.99,SUM($B$10:O10)/(SUM($B$6:O6)+SUM($B$9:O9))),"")</f>
        <v>0.05957879499185839</v>
      </c>
      <c r="P12" s="82">
        <f>IF(P13="Yes",IF(SUM($B$10:P10)/(SUM($B$6:P6)+SUM($B$9:P9))&lt;0,999.99,SUM($B$10:P10)/(SUM($B$6:P6)+SUM($B$9:P9))),"")</f>
        <v>0.06033220653956371</v>
      </c>
      <c r="Q12" s="82">
        <f>IF(Q13="Yes",IF(SUM($B$10:Q10)/(SUM($B$6:Q6)+SUM($B$9:Q9))&lt;0,999.99,SUM($B$10:Q10)/(SUM($B$6:Q6)+SUM($B$9:Q9))),"")</f>
        <v>0.06099332006410541</v>
      </c>
      <c r="R12" s="82">
        <f>IF(R13="Yes",IF(SUM($B$10:R10)/(SUM($B$6:R6)+SUM($B$9:R9))&lt;0,999.99,SUM($B$10:R10)/(SUM($B$6:R6)+SUM($B$9:R9))),"")</f>
        <v>0.06157811732880515</v>
      </c>
      <c r="S12" s="82">
        <f>IF(S13="Yes",IF(SUM($B$10:S10)/(SUM($B$6:S6)+SUM($B$9:S9))&lt;0,999.99,SUM($B$10:S10)/(SUM($B$6:S6)+SUM($B$9:S9))),"")</f>
        <v>0.05994363177006785</v>
      </c>
      <c r="T12" s="82">
        <f>IF(T13="Yes",IF(SUM($B$10:T10)/(SUM($B$6:T6)+SUM($B$9:T9))&lt;0,999.99,SUM($B$10:T10)/(SUM($B$6:T6)+SUM($B$9:T9))),"")</f>
        <v>0.06050314647913772</v>
      </c>
      <c r="U12" s="82">
        <f>IF(U13="Yes",IF(SUM($B$10:U10)/(SUM($B$6:U6)+SUM($B$9:U9))&lt;0,999.99,SUM($B$10:U10)/(SUM($B$6:U6)+SUM($B$9:U9))),"")</f>
        <v>0.06100933492126849</v>
      </c>
      <c r="V12" s="82">
        <f>IF(V13="Yes",IF(SUM($B$10:V10)/(SUM($B$6:V6)+SUM($B$9:V9))&lt;0,999.99,SUM($B$10:V10)/(SUM($B$6:V6)+SUM($B$9:V9))),"")</f>
        <v>0.06146947395991171</v>
      </c>
      <c r="W12" s="82">
        <f>IF(W13="Yes",IF(SUM($B$10:W10)/(SUM($B$6:W6)+SUM($B$9:W9))&lt;0,999.99,SUM($B$10:W10)/(SUM($B$6:W6)+SUM($B$9:W9))),"")</f>
        <v>0.06188957406812377</v>
      </c>
      <c r="X12" s="82">
        <f>IF(X13="Yes",IF(SUM($B$10:X10)/(SUM($B$6:X6)+SUM($B$9:X9))&lt;0,999.99,SUM($B$10:X10)/(SUM($B$6:X6)+SUM($B$9:X9))),"")</f>
        <v>0.06227464332949743</v>
      </c>
      <c r="Y12" s="82">
        <f>IF(Y13="Yes",IF(SUM($B$10:Y10)/(SUM($B$6:Y6)+SUM($B$9:Y9))&lt;0,999.99,SUM($B$10:Y10)/(SUM($B$6:Y6)+SUM($B$9:Y9))),"")</f>
        <v>0.06262888803977011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265896.2406015038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109500</v>
      </c>
      <c r="C24" s="36">
        <f>IFERROR(Calculations!$P14/12,"")</f>
        <v>109500</v>
      </c>
      <c r="D24" s="36">
        <f>IFERROR(Calculations!$P14/12,"")</f>
        <v>109500</v>
      </c>
      <c r="E24" s="36">
        <f>IFERROR(Calculations!$P14/12,"")</f>
        <v>109500</v>
      </c>
      <c r="F24" s="36">
        <f>IFERROR(Calculations!$P14/12,"")</f>
        <v>109500</v>
      </c>
      <c r="G24" s="36">
        <f>IFERROR(Calculations!$P14/12,"")</f>
        <v>109500</v>
      </c>
      <c r="H24" s="36">
        <f>IFERROR(Calculations!$P14/12,"")</f>
        <v>109500</v>
      </c>
      <c r="I24" s="36">
        <f>IFERROR(Calculations!$P14/12,"")</f>
        <v>109500</v>
      </c>
      <c r="J24" s="36">
        <f>IFERROR(Calculations!$P14/12,"")</f>
        <v>109500</v>
      </c>
      <c r="K24" s="36">
        <f>IFERROR(Calculations!$P14/12,"")</f>
        <v>109500</v>
      </c>
      <c r="L24" s="36">
        <f>IFERROR(Calculations!$P14/12,"")</f>
        <v>109500</v>
      </c>
      <c r="M24" s="36">
        <f>IFERROR(Calculations!$P14/12,"")</f>
        <v>109500</v>
      </c>
      <c r="N24" s="36">
        <f>IFERROR(Calculations!$P14/12,"")</f>
        <v>109500</v>
      </c>
      <c r="O24" s="36">
        <f>IFERROR(Calculations!$P14/12,"")</f>
        <v>109500</v>
      </c>
      <c r="P24" s="36">
        <f>IFERROR(Calculations!$P14/12,"")</f>
        <v>109500</v>
      </c>
      <c r="Q24" s="36">
        <f>IFERROR(Calculations!$P14/12,"")</f>
        <v>109500</v>
      </c>
      <c r="R24" s="36">
        <f>IFERROR(Calculations!$P14/12,"")</f>
        <v>109500</v>
      </c>
      <c r="S24" s="36">
        <f>IFERROR(Calculations!$P14/12,"")</f>
        <v>109500</v>
      </c>
      <c r="T24" s="36">
        <f>IFERROR(Calculations!$P14/12,"")</f>
        <v>109500</v>
      </c>
      <c r="U24" s="36">
        <f>IFERROR(Calculations!$P14/12,"")</f>
        <v>109500</v>
      </c>
      <c r="V24" s="36">
        <f>IFERROR(Calculations!$P14/12,"")</f>
        <v>109500</v>
      </c>
      <c r="W24" s="36">
        <f>IFERROR(Calculations!$P14/12,"")</f>
        <v>109500</v>
      </c>
      <c r="X24" s="36">
        <f>IFERROR(Calculations!$P14/12,"")</f>
        <v>109500</v>
      </c>
      <c r="Y24" s="36">
        <f>IFERROR(Calculations!$P14/12,"")</f>
        <v>109500</v>
      </c>
      <c r="Z24" s="36">
        <f>SUMIF($B$13:$Y$13,"Yes",B24:Y24)</f>
        <v>2628000</v>
      </c>
      <c r="AA24" s="36">
        <f>SUM(B24:M24)</f>
        <v>1314000</v>
      </c>
      <c r="AB24" s="46">
        <f>SUM(B24:Y24)</f>
        <v>2628000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766.6666666666666</v>
      </c>
      <c r="C25" s="36">
        <f>IFERROR(Calculations!$P15/12,"")</f>
        <v>766.6666666666666</v>
      </c>
      <c r="D25" s="36">
        <f>IFERROR(Calculations!$P15/12,"")</f>
        <v>766.6666666666666</v>
      </c>
      <c r="E25" s="36">
        <f>IFERROR(Calculations!$P15/12,"")</f>
        <v>766.6666666666666</v>
      </c>
      <c r="F25" s="36">
        <f>IFERROR(Calculations!$P15/12,"")</f>
        <v>766.6666666666666</v>
      </c>
      <c r="G25" s="36">
        <f>IFERROR(Calculations!$P15/12,"")</f>
        <v>766.6666666666666</v>
      </c>
      <c r="H25" s="36">
        <f>IFERROR(Calculations!$P15/12,"")</f>
        <v>766.6666666666666</v>
      </c>
      <c r="I25" s="36">
        <f>IFERROR(Calculations!$P15/12,"")</f>
        <v>766.6666666666666</v>
      </c>
      <c r="J25" s="36">
        <f>IFERROR(Calculations!$P15/12,"")</f>
        <v>766.6666666666666</v>
      </c>
      <c r="K25" s="36">
        <f>IFERROR(Calculations!$P15/12,"")</f>
        <v>766.6666666666666</v>
      </c>
      <c r="L25" s="36">
        <f>IFERROR(Calculations!$P15/12,"")</f>
        <v>766.6666666666666</v>
      </c>
      <c r="M25" s="36">
        <f>IFERROR(Calculations!$P15/12,"")</f>
        <v>766.6666666666666</v>
      </c>
      <c r="N25" s="36">
        <f>IFERROR(Calculations!$P15/12,"")</f>
        <v>766.6666666666666</v>
      </c>
      <c r="O25" s="36">
        <f>IFERROR(Calculations!$P15/12,"")</f>
        <v>766.6666666666666</v>
      </c>
      <c r="P25" s="36">
        <f>IFERROR(Calculations!$P15/12,"")</f>
        <v>766.6666666666666</v>
      </c>
      <c r="Q25" s="36">
        <f>IFERROR(Calculations!$P15/12,"")</f>
        <v>766.6666666666666</v>
      </c>
      <c r="R25" s="36">
        <f>IFERROR(Calculations!$P15/12,"")</f>
        <v>766.6666666666666</v>
      </c>
      <c r="S25" s="36">
        <f>IFERROR(Calculations!$P15/12,"")</f>
        <v>766.6666666666666</v>
      </c>
      <c r="T25" s="36">
        <f>IFERROR(Calculations!$P15/12,"")</f>
        <v>766.6666666666666</v>
      </c>
      <c r="U25" s="36">
        <f>IFERROR(Calculations!$P15/12,"")</f>
        <v>766.6666666666666</v>
      </c>
      <c r="V25" s="36">
        <f>IFERROR(Calculations!$P15/12,"")</f>
        <v>766.6666666666666</v>
      </c>
      <c r="W25" s="36">
        <f>IFERROR(Calculations!$P15/12,"")</f>
        <v>766.6666666666666</v>
      </c>
      <c r="X25" s="36">
        <f>IFERROR(Calculations!$P15/12,"")</f>
        <v>766.6666666666666</v>
      </c>
      <c r="Y25" s="36">
        <f>IFERROR(Calculations!$P15/12,"")</f>
        <v>766.6666666666666</v>
      </c>
      <c r="Z25" s="36">
        <f>SUMIF($B$13:$Y$13,"Yes",B25:Y25)</f>
        <v>18400</v>
      </c>
      <c r="AA25" s="36">
        <f>SUM(B25:M25)</f>
        <v>9200</v>
      </c>
      <c r="AB25" s="46">
        <f>SUM(B25:Y25)</f>
        <v>18400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385000</v>
      </c>
      <c r="C26" s="36">
        <f>IFERROR(Calculations!$P16/12,"")</f>
        <v>385000</v>
      </c>
      <c r="D26" s="36">
        <f>IFERROR(Calculations!$P16/12,"")</f>
        <v>385000</v>
      </c>
      <c r="E26" s="36">
        <f>IFERROR(Calculations!$P16/12,"")</f>
        <v>385000</v>
      </c>
      <c r="F26" s="36">
        <f>IFERROR(Calculations!$P16/12,"")</f>
        <v>385000</v>
      </c>
      <c r="G26" s="36">
        <f>IFERROR(Calculations!$P16/12,"")</f>
        <v>385000</v>
      </c>
      <c r="H26" s="36">
        <f>IFERROR(Calculations!$P16/12,"")</f>
        <v>385000</v>
      </c>
      <c r="I26" s="36">
        <f>IFERROR(Calculations!$P16/12,"")</f>
        <v>385000</v>
      </c>
      <c r="J26" s="36">
        <f>IFERROR(Calculations!$P16/12,"")</f>
        <v>385000</v>
      </c>
      <c r="K26" s="36">
        <f>IFERROR(Calculations!$P16/12,"")</f>
        <v>385000</v>
      </c>
      <c r="L26" s="36">
        <f>IFERROR(Calculations!$P16/12,"")</f>
        <v>385000</v>
      </c>
      <c r="M26" s="36">
        <f>IFERROR(Calculations!$P16/12,"")</f>
        <v>385000</v>
      </c>
      <c r="N26" s="36">
        <f>IFERROR(Calculations!$P16/12,"")</f>
        <v>385000</v>
      </c>
      <c r="O26" s="36">
        <f>IFERROR(Calculations!$P16/12,"")</f>
        <v>385000</v>
      </c>
      <c r="P26" s="36">
        <f>IFERROR(Calculations!$P16/12,"")</f>
        <v>385000</v>
      </c>
      <c r="Q26" s="36">
        <f>IFERROR(Calculations!$P16/12,"")</f>
        <v>385000</v>
      </c>
      <c r="R26" s="36">
        <f>IFERROR(Calculations!$P16/12,"")</f>
        <v>385000</v>
      </c>
      <c r="S26" s="36">
        <f>IFERROR(Calculations!$P16/12,"")</f>
        <v>385000</v>
      </c>
      <c r="T26" s="36">
        <f>IFERROR(Calculations!$P16/12,"")</f>
        <v>385000</v>
      </c>
      <c r="U26" s="36">
        <f>IFERROR(Calculations!$P16/12,"")</f>
        <v>385000</v>
      </c>
      <c r="V26" s="36">
        <f>IFERROR(Calculations!$P16/12,"")</f>
        <v>385000</v>
      </c>
      <c r="W26" s="36">
        <f>IFERROR(Calculations!$P16/12,"")</f>
        <v>385000</v>
      </c>
      <c r="X26" s="36">
        <f>IFERROR(Calculations!$P16/12,"")</f>
        <v>385000</v>
      </c>
      <c r="Y26" s="36">
        <f>IFERROR(Calculations!$P16/12,"")</f>
        <v>385000</v>
      </c>
      <c r="Z26" s="36">
        <f>SUMIF($B$13:$Y$13,"Yes",B26:Y26)</f>
        <v>9240000</v>
      </c>
      <c r="AA26" s="36">
        <f>SUM(B26:M26)</f>
        <v>4620000</v>
      </c>
      <c r="AB26" s="46">
        <f>SUM(B26:Y26)</f>
        <v>9240000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157500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157500</v>
      </c>
      <c r="AA27" s="36">
        <f>SUM(B27:M27)</f>
        <v>0</v>
      </c>
      <c r="AB27" s="46">
        <f>SUM(B27:Y27)</f>
        <v>157500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360000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510266.6666666666</v>
      </c>
      <c r="C30" s="19">
        <f>SUM(C18:C29)</f>
        <v>510266.6666666666</v>
      </c>
      <c r="D30" s="19">
        <f>SUM(D18:D29)</f>
        <v>510266.6666666666</v>
      </c>
      <c r="E30" s="19">
        <f>SUM(E18:E29)</f>
        <v>510266.6666666666</v>
      </c>
      <c r="F30" s="19">
        <f>SUM(F18:F29)</f>
        <v>510266.6666666666</v>
      </c>
      <c r="G30" s="19">
        <f>SUM(G18:G29)</f>
        <v>510266.6666666666</v>
      </c>
      <c r="H30" s="19">
        <f>SUM(H18:H29)</f>
        <v>510266.6666666666</v>
      </c>
      <c r="I30" s="19">
        <f>SUM(I18:I29)</f>
        <v>510266.6666666666</v>
      </c>
      <c r="J30" s="19">
        <f>SUM(J18:J29)</f>
        <v>510266.6666666666</v>
      </c>
      <c r="K30" s="19">
        <f>SUM(K18:K29)</f>
        <v>510266.6666666666</v>
      </c>
      <c r="L30" s="19">
        <f>SUM(L18:L29)</f>
        <v>510266.6666666666</v>
      </c>
      <c r="M30" s="19">
        <f>SUM(M18:M29)</f>
        <v>510266.6666666666</v>
      </c>
      <c r="N30" s="19">
        <f>SUM(N18:N29)</f>
        <v>510266.6666666666</v>
      </c>
      <c r="O30" s="19">
        <f>SUM(O18:O29)</f>
        <v>510266.6666666666</v>
      </c>
      <c r="P30" s="19">
        <f>SUM(P18:P29)</f>
        <v>510266.6666666666</v>
      </c>
      <c r="Q30" s="19">
        <f>SUM(Q18:Q29)</f>
        <v>510266.6666666666</v>
      </c>
      <c r="R30" s="19">
        <f>SUM(R18:R29)</f>
        <v>510266.6666666666</v>
      </c>
      <c r="S30" s="19">
        <f>SUM(S18:S29)</f>
        <v>667766.6666666666</v>
      </c>
      <c r="T30" s="19">
        <f>SUM(T18:T29)</f>
        <v>510266.6666666666</v>
      </c>
      <c r="U30" s="19">
        <f>SUM(U18:U29)</f>
        <v>510266.6666666666</v>
      </c>
      <c r="V30" s="19">
        <f>SUM(V18:V29)</f>
        <v>510266.6666666666</v>
      </c>
      <c r="W30" s="19">
        <f>SUM(W18:W29)</f>
        <v>510266.6666666666</v>
      </c>
      <c r="X30" s="19">
        <f>SUM(X18:X29)</f>
        <v>510266.6666666666</v>
      </c>
      <c r="Y30" s="19">
        <f>SUM(Y18:Y29)</f>
        <v>510266.6666666666</v>
      </c>
      <c r="Z30" s="19">
        <f>SUMIF($B$13:$Y$13,"Yes",B30:Y30)</f>
        <v>12403900</v>
      </c>
      <c r="AA30" s="19">
        <f>SUM(B30:M30)</f>
        <v>6123200</v>
      </c>
      <c r="AB30" s="19">
        <f>SUM(B30:Y30)</f>
        <v>12403900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80908.33333333333</v>
      </c>
      <c r="C74" s="46">
        <f>SUM(Calculations!$Q$14:$Q$16)/12</f>
        <v>80908.33333333333</v>
      </c>
      <c r="D74" s="46">
        <f>SUM(Calculations!$Q$14:$Q$16)/12</f>
        <v>80908.33333333333</v>
      </c>
      <c r="E74" s="46">
        <f>SUM(Calculations!$Q$14:$Q$16)/12</f>
        <v>80908.33333333333</v>
      </c>
      <c r="F74" s="46">
        <f>SUM(Calculations!$Q$14:$Q$16)/12</f>
        <v>80908.33333333333</v>
      </c>
      <c r="G74" s="46">
        <f>SUM(Calculations!$Q$14:$Q$16)/12</f>
        <v>80908.33333333333</v>
      </c>
      <c r="H74" s="46">
        <f>SUM(Calculations!$Q$14:$Q$16)/12</f>
        <v>80908.33333333333</v>
      </c>
      <c r="I74" s="46">
        <f>SUM(Calculations!$Q$14:$Q$16)/12</f>
        <v>80908.33333333333</v>
      </c>
      <c r="J74" s="46">
        <f>SUM(Calculations!$Q$14:$Q$16)/12</f>
        <v>80908.33333333333</v>
      </c>
      <c r="K74" s="46">
        <f>SUM(Calculations!$Q$14:$Q$16)/12</f>
        <v>80908.33333333333</v>
      </c>
      <c r="L74" s="46">
        <f>SUM(Calculations!$Q$14:$Q$16)/12</f>
        <v>80908.33333333333</v>
      </c>
      <c r="M74" s="46">
        <f>SUM(Calculations!$Q$14:$Q$16)/12</f>
        <v>80908.33333333333</v>
      </c>
      <c r="N74" s="46">
        <f>SUM(Calculations!$Q$14:$Q$16)/12</f>
        <v>80908.33333333333</v>
      </c>
      <c r="O74" s="46">
        <f>SUM(Calculations!$Q$14:$Q$16)/12</f>
        <v>80908.33333333333</v>
      </c>
      <c r="P74" s="46">
        <f>SUM(Calculations!$Q$14:$Q$16)/12</f>
        <v>80908.33333333333</v>
      </c>
      <c r="Q74" s="46">
        <f>SUM(Calculations!$Q$14:$Q$16)/12</f>
        <v>80908.33333333333</v>
      </c>
      <c r="R74" s="46">
        <f>SUM(Calculations!$Q$14:$Q$16)/12</f>
        <v>80908.33333333333</v>
      </c>
      <c r="S74" s="46">
        <f>SUM(Calculations!$Q$14:$Q$16)/12</f>
        <v>80908.33333333333</v>
      </c>
      <c r="T74" s="46">
        <f>SUM(Calculations!$Q$14:$Q$16)/12</f>
        <v>80908.33333333333</v>
      </c>
      <c r="U74" s="46">
        <f>SUM(Calculations!$Q$14:$Q$16)/12</f>
        <v>80908.33333333333</v>
      </c>
      <c r="V74" s="46">
        <f>SUM(Calculations!$Q$14:$Q$16)/12</f>
        <v>80908.33333333333</v>
      </c>
      <c r="W74" s="46">
        <f>SUM(Calculations!$Q$14:$Q$16)/12</f>
        <v>80908.33333333333</v>
      </c>
      <c r="X74" s="46">
        <f>SUM(Calculations!$Q$14:$Q$16)/12</f>
        <v>80908.33333333333</v>
      </c>
      <c r="Y74" s="46">
        <f>SUM(Calculations!$Q$14:$Q$16)/12</f>
        <v>80908.33333333333</v>
      </c>
      <c r="Z74" s="46">
        <f>SUMIF($B$13:$Y$13,"Yes",B74:Y74)</f>
        <v>1941799.999999999</v>
      </c>
      <c r="AA74" s="46">
        <f>SUM(B74:M74)</f>
        <v>970900.0000000001</v>
      </c>
      <c r="AB74" s="46">
        <f>SUM(B74:Y74)</f>
        <v>1941799.999999999</v>
      </c>
    </row>
    <row r="75" spans="1:30">
      <c r="A75" s="16" t="s">
        <v>47</v>
      </c>
      <c r="B75" s="46">
        <f>SUM(Calculations!$R$14:$R$16)/12</f>
        <v>7706.666666666667</v>
      </c>
      <c r="C75" s="46">
        <f>SUM(Calculations!$R$14:$R$16)/12</f>
        <v>7706.666666666667</v>
      </c>
      <c r="D75" s="46">
        <f>SUM(Calculations!$R$14:$R$16)/12</f>
        <v>7706.666666666667</v>
      </c>
      <c r="E75" s="46">
        <f>SUM(Calculations!$R$14:$R$16)/12</f>
        <v>7706.666666666667</v>
      </c>
      <c r="F75" s="46">
        <f>SUM(Calculations!$R$14:$R$16)/12</f>
        <v>7706.666666666667</v>
      </c>
      <c r="G75" s="46">
        <f>SUM(Calculations!$R$14:$R$16)/12</f>
        <v>7706.666666666667</v>
      </c>
      <c r="H75" s="46">
        <f>SUM(Calculations!$R$14:$R$16)/12</f>
        <v>7706.666666666667</v>
      </c>
      <c r="I75" s="46">
        <f>SUM(Calculations!$R$14:$R$16)/12</f>
        <v>7706.666666666667</v>
      </c>
      <c r="J75" s="46">
        <f>SUM(Calculations!$R$14:$R$16)/12</f>
        <v>7706.666666666667</v>
      </c>
      <c r="K75" s="46">
        <f>SUM(Calculations!$R$14:$R$16)/12</f>
        <v>7706.666666666667</v>
      </c>
      <c r="L75" s="46">
        <f>SUM(Calculations!$R$14:$R$16)/12</f>
        <v>7706.666666666667</v>
      </c>
      <c r="M75" s="46">
        <f>SUM(Calculations!$R$14:$R$16)/12</f>
        <v>7706.666666666667</v>
      </c>
      <c r="N75" s="46">
        <f>SUM(Calculations!$R$14:$R$16)/12</f>
        <v>7706.666666666667</v>
      </c>
      <c r="O75" s="46">
        <f>SUM(Calculations!$R$14:$R$16)/12</f>
        <v>7706.666666666667</v>
      </c>
      <c r="P75" s="46">
        <f>SUM(Calculations!$R$14:$R$16)/12</f>
        <v>7706.666666666667</v>
      </c>
      <c r="Q75" s="46">
        <f>SUM(Calculations!$R$14:$R$16)/12</f>
        <v>7706.666666666667</v>
      </c>
      <c r="R75" s="46">
        <f>SUM(Calculations!$R$14:$R$16)/12</f>
        <v>7706.666666666667</v>
      </c>
      <c r="S75" s="46">
        <f>SUM(Calculations!$R$14:$R$16)/12</f>
        <v>7706.666666666667</v>
      </c>
      <c r="T75" s="46">
        <f>SUM(Calculations!$R$14:$R$16)/12</f>
        <v>7706.666666666667</v>
      </c>
      <c r="U75" s="46">
        <f>SUM(Calculations!$R$14:$R$16)/12</f>
        <v>7706.666666666667</v>
      </c>
      <c r="V75" s="46">
        <f>SUM(Calculations!$R$14:$R$16)/12</f>
        <v>7706.666666666667</v>
      </c>
      <c r="W75" s="46">
        <f>SUM(Calculations!$R$14:$R$16)/12</f>
        <v>7706.666666666667</v>
      </c>
      <c r="X75" s="46">
        <f>SUM(Calculations!$R$14:$R$16)/12</f>
        <v>7706.666666666667</v>
      </c>
      <c r="Y75" s="46">
        <f>SUM(Calculations!$R$14:$R$16)/12</f>
        <v>7706.666666666667</v>
      </c>
      <c r="Z75" s="46">
        <f>SUMIF($B$13:$Y$13,"Yes",B75:Y75)</f>
        <v>184960</v>
      </c>
      <c r="AA75" s="46">
        <f>SUM(B75:M75)</f>
        <v>92480.00000000001</v>
      </c>
      <c r="AB75" s="46">
        <f>SUM(B75:Y75)</f>
        <v>184960</v>
      </c>
    </row>
    <row r="76" spans="1:30">
      <c r="A76" s="16" t="s">
        <v>48</v>
      </c>
      <c r="B76" s="46">
        <f>SUM(Calculations!$S$14:$S$16)/12</f>
        <v>11079.01002506266</v>
      </c>
      <c r="C76" s="46">
        <f>SUM(Calculations!$S$14:$S$16)/12</f>
        <v>11079.01002506266</v>
      </c>
      <c r="D76" s="46">
        <f>SUM(Calculations!$S$14:$S$16)/12</f>
        <v>11079.01002506266</v>
      </c>
      <c r="E76" s="46">
        <f>SUM(Calculations!$S$14:$S$16)/12</f>
        <v>11079.01002506266</v>
      </c>
      <c r="F76" s="46">
        <f>SUM(Calculations!$S$14:$S$16)/12</f>
        <v>11079.01002506266</v>
      </c>
      <c r="G76" s="46">
        <f>SUM(Calculations!$S$14:$S$16)/12</f>
        <v>11079.01002506266</v>
      </c>
      <c r="H76" s="46">
        <f>SUM(Calculations!$S$14:$S$16)/12</f>
        <v>11079.01002506266</v>
      </c>
      <c r="I76" s="46">
        <f>SUM(Calculations!$S$14:$S$16)/12</f>
        <v>11079.01002506266</v>
      </c>
      <c r="J76" s="46">
        <f>SUM(Calculations!$S$14:$S$16)/12</f>
        <v>11079.01002506266</v>
      </c>
      <c r="K76" s="46">
        <f>SUM(Calculations!$S$14:$S$16)/12</f>
        <v>11079.01002506266</v>
      </c>
      <c r="L76" s="46">
        <f>SUM(Calculations!$S$14:$S$16)/12</f>
        <v>11079.01002506266</v>
      </c>
      <c r="M76" s="46">
        <f>SUM(Calculations!$S$14:$S$16)/12</f>
        <v>11079.01002506266</v>
      </c>
      <c r="N76" s="46">
        <f>SUM(Calculations!$S$14:$S$16)/12</f>
        <v>11079.01002506266</v>
      </c>
      <c r="O76" s="46">
        <f>SUM(Calculations!$S$14:$S$16)/12</f>
        <v>11079.01002506266</v>
      </c>
      <c r="P76" s="46">
        <f>SUM(Calculations!$S$14:$S$16)/12</f>
        <v>11079.01002506266</v>
      </c>
      <c r="Q76" s="46">
        <f>SUM(Calculations!$S$14:$S$16)/12</f>
        <v>11079.01002506266</v>
      </c>
      <c r="R76" s="46">
        <f>SUM(Calculations!$S$14:$S$16)/12</f>
        <v>11079.01002506266</v>
      </c>
      <c r="S76" s="46">
        <f>SUM(Calculations!$S$14:$S$16)/12</f>
        <v>11079.01002506266</v>
      </c>
      <c r="T76" s="46">
        <f>SUM(Calculations!$S$14:$S$16)/12</f>
        <v>11079.01002506266</v>
      </c>
      <c r="U76" s="46">
        <f>SUM(Calculations!$S$14:$S$16)/12</f>
        <v>11079.01002506266</v>
      </c>
      <c r="V76" s="46">
        <f>SUM(Calculations!$S$14:$S$16)/12</f>
        <v>11079.01002506266</v>
      </c>
      <c r="W76" s="46">
        <f>SUM(Calculations!$S$14:$S$16)/12</f>
        <v>11079.01002506266</v>
      </c>
      <c r="X76" s="46">
        <f>SUM(Calculations!$S$14:$S$16)/12</f>
        <v>11079.01002506266</v>
      </c>
      <c r="Y76" s="46">
        <f>SUM(Calculations!$S$14:$S$16)/12</f>
        <v>11079.01002506266</v>
      </c>
      <c r="Z76" s="46">
        <f>SUMIF($B$13:$Y$13,"Yes",B76:Y76)</f>
        <v>265896.2406015038</v>
      </c>
      <c r="AA76" s="46">
        <f>SUM(B76:M76)</f>
        <v>132948.1203007519</v>
      </c>
      <c r="AB76" s="46">
        <f>SUM(B76:Y76)</f>
        <v>265896.2406015038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60000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60000</v>
      </c>
      <c r="AA80" s="46">
        <f>SUM(B80:M80)</f>
        <v>60000</v>
      </c>
      <c r="AB80" s="46">
        <f>SUM(B80:Y80)</f>
        <v>60000</v>
      </c>
    </row>
    <row r="81" spans="1:30">
      <c r="A81" s="43" t="s">
        <v>51</v>
      </c>
      <c r="B81" s="46">
        <f>(SUM($AA$18:$AA$29)-SUM($AA$36,$AA$42,$AA$48,$AA$54,$AA$60,$AA$66,$AA$72:$AA$79))*Parameters!$B$37/12</f>
        <v>162229.0626566416</v>
      </c>
      <c r="C81" s="46">
        <f>(SUM($AA$18:$AA$29)-SUM($AA$36,$AA$42,$AA$48,$AA$54,$AA$60,$AA$66,$AA$72:$AA$79))*Parameters!$B$37/12</f>
        <v>162229.0626566416</v>
      </c>
      <c r="D81" s="46">
        <f>(SUM($AA$18:$AA$29)-SUM($AA$36,$AA$42,$AA$48,$AA$54,$AA$60,$AA$66,$AA$72:$AA$79))*Parameters!$B$37/12</f>
        <v>162229.0626566416</v>
      </c>
      <c r="E81" s="46">
        <f>(SUM($AA$18:$AA$29)-SUM($AA$36,$AA$42,$AA$48,$AA$54,$AA$60,$AA$66,$AA$72:$AA$79))*Parameters!$B$37/12</f>
        <v>162229.0626566416</v>
      </c>
      <c r="F81" s="46">
        <f>(SUM($AA$18:$AA$29)-SUM($AA$36,$AA$42,$AA$48,$AA$54,$AA$60,$AA$66,$AA$72:$AA$79))*Parameters!$B$37/12</f>
        <v>162229.0626566416</v>
      </c>
      <c r="G81" s="46">
        <f>(SUM($AA$18:$AA$29)-SUM($AA$36,$AA$42,$AA$48,$AA$54,$AA$60,$AA$66,$AA$72:$AA$79))*Parameters!$B$37/12</f>
        <v>162229.0626566416</v>
      </c>
      <c r="H81" s="46">
        <f>(SUM($AA$18:$AA$29)-SUM($AA$36,$AA$42,$AA$48,$AA$54,$AA$60,$AA$66,$AA$72:$AA$79))*Parameters!$B$37/12</f>
        <v>162229.0626566416</v>
      </c>
      <c r="I81" s="46">
        <f>(SUM($AA$18:$AA$29)-SUM($AA$36,$AA$42,$AA$48,$AA$54,$AA$60,$AA$66,$AA$72:$AA$79))*Parameters!$B$37/12</f>
        <v>162229.0626566416</v>
      </c>
      <c r="J81" s="46">
        <f>(SUM($AA$18:$AA$29)-SUM($AA$36,$AA$42,$AA$48,$AA$54,$AA$60,$AA$66,$AA$72:$AA$79))*Parameters!$B$37/12</f>
        <v>162229.0626566416</v>
      </c>
      <c r="K81" s="46">
        <f>(SUM($AA$18:$AA$29)-SUM($AA$36,$AA$42,$AA$48,$AA$54,$AA$60,$AA$66,$AA$72:$AA$79))*Parameters!$B$37/12</f>
        <v>162229.0626566416</v>
      </c>
      <c r="L81" s="46">
        <f>(SUM($AA$18:$AA$29)-SUM($AA$36,$AA$42,$AA$48,$AA$54,$AA$60,$AA$66,$AA$72:$AA$79))*Parameters!$B$37/12</f>
        <v>162229.0626566416</v>
      </c>
      <c r="M81" s="46">
        <f>(SUM($AA$18:$AA$29)-SUM($AA$36,$AA$42,$AA$48,$AA$54,$AA$60,$AA$66,$AA$72:$AA$79))*Parameters!$B$37/12</f>
        <v>162229.0626566416</v>
      </c>
      <c r="N81" s="46">
        <f>(SUM($AA$18:$AA$29)-SUM($AA$36,$AA$42,$AA$48,$AA$54,$AA$60,$AA$66,$AA$72:$AA$79))*Parameters!$B$37/12</f>
        <v>162229.0626566416</v>
      </c>
      <c r="O81" s="46">
        <f>(SUM($AA$18:$AA$29)-SUM($AA$36,$AA$42,$AA$48,$AA$54,$AA$60,$AA$66,$AA$72:$AA$79))*Parameters!$B$37/12</f>
        <v>162229.0626566416</v>
      </c>
      <c r="P81" s="46">
        <f>(SUM($AA$18:$AA$29)-SUM($AA$36,$AA$42,$AA$48,$AA$54,$AA$60,$AA$66,$AA$72:$AA$79))*Parameters!$B$37/12</f>
        <v>162229.0626566416</v>
      </c>
      <c r="Q81" s="46">
        <f>(SUM($AA$18:$AA$29)-SUM($AA$36,$AA$42,$AA$48,$AA$54,$AA$60,$AA$66,$AA$72:$AA$79))*Parameters!$B$37/12</f>
        <v>162229.0626566416</v>
      </c>
      <c r="R81" s="46">
        <f>(SUM($AA$18:$AA$29)-SUM($AA$36,$AA$42,$AA$48,$AA$54,$AA$60,$AA$66,$AA$72:$AA$79))*Parameters!$B$37/12</f>
        <v>162229.0626566416</v>
      </c>
      <c r="S81" s="46">
        <f>(SUM($AA$18:$AA$29)-SUM($AA$36,$AA$42,$AA$48,$AA$54,$AA$60,$AA$66,$AA$72:$AA$79))*Parameters!$B$37/12</f>
        <v>162229.0626566416</v>
      </c>
      <c r="T81" s="46">
        <f>(SUM($AA$18:$AA$29)-SUM($AA$36,$AA$42,$AA$48,$AA$54,$AA$60,$AA$66,$AA$72:$AA$79))*Parameters!$B$37/12</f>
        <v>162229.0626566416</v>
      </c>
      <c r="U81" s="46">
        <f>(SUM($AA$18:$AA$29)-SUM($AA$36,$AA$42,$AA$48,$AA$54,$AA$60,$AA$66,$AA$72:$AA$79))*Parameters!$B$37/12</f>
        <v>162229.0626566416</v>
      </c>
      <c r="V81" s="46">
        <f>(SUM($AA$18:$AA$29)-SUM($AA$36,$AA$42,$AA$48,$AA$54,$AA$60,$AA$66,$AA$72:$AA$79))*Parameters!$B$37/12</f>
        <v>162229.0626566416</v>
      </c>
      <c r="W81" s="46">
        <f>(SUM($AA$18:$AA$29)-SUM($AA$36,$AA$42,$AA$48,$AA$54,$AA$60,$AA$66,$AA$72:$AA$79))*Parameters!$B$37/12</f>
        <v>162229.0626566416</v>
      </c>
      <c r="X81" s="46">
        <f>(SUM($AA$18:$AA$29)-SUM($AA$36,$AA$42,$AA$48,$AA$54,$AA$60,$AA$66,$AA$72:$AA$79))*Parameters!$B$37/12</f>
        <v>162229.0626566416</v>
      </c>
      <c r="Y81" s="46">
        <f>(SUM($AA$18:$AA$29)-SUM($AA$36,$AA$42,$AA$48,$AA$54,$AA$60,$AA$66,$AA$72:$AA$79))*Parameters!$B$37/12</f>
        <v>162229.0626566416</v>
      </c>
      <c r="Z81" s="46">
        <f>SUMIF($B$13:$Y$13,"Yes",B81:Y81)</f>
        <v>3893497.503759398</v>
      </c>
      <c r="AA81" s="46">
        <f>SUM(B81:M81)</f>
        <v>1946748.7518797</v>
      </c>
      <c r="AB81" s="46">
        <f>SUM(B81:Y81)</f>
        <v>3893497.503759398</v>
      </c>
    </row>
    <row r="82" spans="1:30">
      <c r="A82" s="16" t="s">
        <v>52</v>
      </c>
      <c r="B82" s="46">
        <f>SUM(B83:B87)</f>
        <v>13651.86897968129</v>
      </c>
      <c r="C82" s="46">
        <f>SUM(C83:C87)</f>
        <v>13651.86897968129</v>
      </c>
      <c r="D82" s="46">
        <f>SUM(D83:D87)</f>
        <v>13651.86897968129</v>
      </c>
      <c r="E82" s="46">
        <f>SUM(E83:E87)</f>
        <v>13651.86897968129</v>
      </c>
      <c r="F82" s="46">
        <f>SUM(F83:F87)</f>
        <v>13651.86897968129</v>
      </c>
      <c r="G82" s="46">
        <f>SUM(G83:G87)</f>
        <v>13651.86897968129</v>
      </c>
      <c r="H82" s="46">
        <f>SUM(H83:H87)</f>
        <v>13651.86897968129</v>
      </c>
      <c r="I82" s="46">
        <f>SUM(I83:I87)</f>
        <v>13651.86897968129</v>
      </c>
      <c r="J82" s="46">
        <f>SUM(J83:J87)</f>
        <v>13651.86897968129</v>
      </c>
      <c r="K82" s="46">
        <f>SUM(K83:K87)</f>
        <v>13651.86897968129</v>
      </c>
      <c r="L82" s="46">
        <f>SUM(L83:L87)</f>
        <v>73268.25239937042</v>
      </c>
      <c r="M82" s="46">
        <f>SUM(M83:M87)</f>
        <v>4328.78262389545</v>
      </c>
      <c r="N82" s="46">
        <f>SUM(N83:N87)</f>
        <v>4328.78262389545</v>
      </c>
      <c r="O82" s="46">
        <f>SUM(O83:O87)</f>
        <v>4328.78262389545</v>
      </c>
      <c r="P82" s="46">
        <f>SUM(P83:P87)</f>
        <v>4328.78262389545</v>
      </c>
      <c r="Q82" s="46">
        <f>SUM(Q83:Q87)</f>
        <v>4328.78262389545</v>
      </c>
      <c r="R82" s="46">
        <f>SUM(R83:R87)</f>
        <v>4328.78262389545</v>
      </c>
      <c r="S82" s="46">
        <f>SUM(S83:S87)</f>
        <v>4328.78262389545</v>
      </c>
      <c r="T82" s="46">
        <f>SUM(T83:T87)</f>
        <v>4328.78262389545</v>
      </c>
      <c r="U82" s="46">
        <f>SUM(U83:U87)</f>
        <v>4328.78262389545</v>
      </c>
      <c r="V82" s="46">
        <f>SUM(V83:V87)</f>
        <v>4328.78262389545</v>
      </c>
      <c r="W82" s="46">
        <f>SUM(W83:W87)</f>
        <v>4328.78262389545</v>
      </c>
      <c r="X82" s="46">
        <f>SUM(X83:X87)</f>
        <v>4328.78262389545</v>
      </c>
      <c r="Y82" s="46">
        <f>SUM(Y83:Y87)</f>
        <v>4328.78262389545</v>
      </c>
      <c r="Z82" s="46">
        <f>SUMIF($B$13:$Y$13,"Yes",B82:Y82)</f>
        <v>266061.1163068241</v>
      </c>
      <c r="AA82" s="46">
        <f>SUM(B82:M82)</f>
        <v>214115.7248200787</v>
      </c>
      <c r="AB82" s="46">
        <f>SUM(B82:Y82)</f>
        <v>266061.1163068241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232.5775214753409</v>
      </c>
      <c r="C83" s="46">
        <f>IF(Calculations!$E23&gt;COUNT(Output!$B$35:C$35),Calculations!$B23,IF(Calculations!$E23=COUNT(Output!$B$35:C$35),Inputs!$B56-Calculations!$C23*(Calculations!$E23-1)+Calculations!$D23,0))</f>
        <v>232.5775214753409</v>
      </c>
      <c r="D83" s="46">
        <f>IF(Calculations!$E23&gt;COUNT(Output!$B$35:D$35),Calculations!$B23,IF(Calculations!$E23=COUNT(Output!$B$35:D$35),Inputs!$B56-Calculations!$C23*(Calculations!$E23-1)+Calculations!$D23,0))</f>
        <v>232.5775214753409</v>
      </c>
      <c r="E83" s="46">
        <f>IF(Calculations!$E23&gt;COUNT(Output!$B$35:E$35),Calculations!$B23,IF(Calculations!$E23=COUNT(Output!$B$35:E$35),Inputs!$B56-Calculations!$C23*(Calculations!$E23-1)+Calculations!$D23,0))</f>
        <v>232.5775214753409</v>
      </c>
      <c r="F83" s="46">
        <f>IF(Calculations!$E23&gt;COUNT(Output!$B$35:F$35),Calculations!$B23,IF(Calculations!$E23=COUNT(Output!$B$35:F$35),Inputs!$B56-Calculations!$C23*(Calculations!$E23-1)+Calculations!$D23,0))</f>
        <v>232.5775214753409</v>
      </c>
      <c r="G83" s="46">
        <f>IF(Calculations!$E23&gt;COUNT(Output!$B$35:G$35),Calculations!$B23,IF(Calculations!$E23=COUNT(Output!$B$35:G$35),Inputs!$B56-Calculations!$C23*(Calculations!$E23-1)+Calculations!$D23,0))</f>
        <v>232.5775214753409</v>
      </c>
      <c r="H83" s="46">
        <f>IF(Calculations!$E23&gt;COUNT(Output!$B$35:H$35),Calculations!$B23,IF(Calculations!$E23=COUNT(Output!$B$35:H$35),Inputs!$B56-Calculations!$C23*(Calculations!$E23-1)+Calculations!$D23,0))</f>
        <v>232.5775214753409</v>
      </c>
      <c r="I83" s="46">
        <f>IF(Calculations!$E23&gt;COUNT(Output!$B$35:I$35),Calculations!$B23,IF(Calculations!$E23=COUNT(Output!$B$35:I$35),Inputs!$B56-Calculations!$C23*(Calculations!$E23-1)+Calculations!$D23,0))</f>
        <v>232.5775214753409</v>
      </c>
      <c r="J83" s="46">
        <f>IF(Calculations!$E23&gt;COUNT(Output!$B$35:J$35),Calculations!$B23,IF(Calculations!$E23=COUNT(Output!$B$35:J$35),Inputs!$B56-Calculations!$C23*(Calculations!$E23-1)+Calculations!$D23,0))</f>
        <v>232.5775214753409</v>
      </c>
      <c r="K83" s="46">
        <f>IF(Calculations!$E23&gt;COUNT(Output!$B$35:K$35),Calculations!$B23,IF(Calculations!$E23=COUNT(Output!$B$35:K$35),Inputs!$B56-Calculations!$C23*(Calculations!$E23-1)+Calculations!$D23,0))</f>
        <v>232.5775214753409</v>
      </c>
      <c r="L83" s="46">
        <f>IF(Calculations!$E23&gt;COUNT(Output!$B$35:L$35),Calculations!$B23,IF(Calculations!$E23=COUNT(Output!$B$35:L$35),Inputs!$B56-Calculations!$C23*(Calculations!$E23-1)+Calculations!$D23,0))</f>
        <v>232.5775214753409</v>
      </c>
      <c r="M83" s="46">
        <f>IF(Calculations!$E23&gt;COUNT(Output!$B$35:M$35),Calculations!$B23,IF(Calculations!$E23=COUNT(Output!$B$35:M$35),Inputs!$B56-Calculations!$C23*(Calculations!$E23-1)+Calculations!$D23,0))</f>
        <v>232.5775214753409</v>
      </c>
      <c r="N83" s="46">
        <f>IF(Calculations!$E23&gt;COUNT(Output!$B$35:N$35),Calculations!$B23,IF(Calculations!$E23=COUNT(Output!$B$35:N$35),Inputs!$B56-Calculations!$C23*(Calculations!$E23-1)+Calculations!$D23,0))</f>
        <v>232.5775214753409</v>
      </c>
      <c r="O83" s="46">
        <f>IF(Calculations!$E23&gt;COUNT(Output!$B$35:O$35),Calculations!$B23,IF(Calculations!$E23=COUNT(Output!$B$35:O$35),Inputs!$B56-Calculations!$C23*(Calculations!$E23-1)+Calculations!$D23,0))</f>
        <v>232.5775214753409</v>
      </c>
      <c r="P83" s="46">
        <f>IF(Calculations!$E23&gt;COUNT(Output!$B$35:P$35),Calculations!$B23,IF(Calculations!$E23=COUNT(Output!$B$35:P$35),Inputs!$B56-Calculations!$C23*(Calculations!$E23-1)+Calculations!$D23,0))</f>
        <v>232.5775214753409</v>
      </c>
      <c r="Q83" s="46">
        <f>IF(Calculations!$E23&gt;COUNT(Output!$B$35:Q$35),Calculations!$B23,IF(Calculations!$E23=COUNT(Output!$B$35:Q$35),Inputs!$B56-Calculations!$C23*(Calculations!$E23-1)+Calculations!$D23,0))</f>
        <v>232.5775214753409</v>
      </c>
      <c r="R83" s="46">
        <f>IF(Calculations!$E23&gt;COUNT(Output!$B$35:R$35),Calculations!$B23,IF(Calculations!$E23=COUNT(Output!$B$35:R$35),Inputs!$B56-Calculations!$C23*(Calculations!$E23-1)+Calculations!$D23,0))</f>
        <v>232.5775214753409</v>
      </c>
      <c r="S83" s="46">
        <f>IF(Calculations!$E23&gt;COUNT(Output!$B$35:S$35),Calculations!$B23,IF(Calculations!$E23=COUNT(Output!$B$35:S$35),Inputs!$B56-Calculations!$C23*(Calculations!$E23-1)+Calculations!$D23,0))</f>
        <v>232.5775214753409</v>
      </c>
      <c r="T83" s="46">
        <f>IF(Calculations!$E23&gt;COUNT(Output!$B$35:T$35),Calculations!$B23,IF(Calculations!$E23=COUNT(Output!$B$35:T$35),Inputs!$B56-Calculations!$C23*(Calculations!$E23-1)+Calculations!$D23,0))</f>
        <v>232.5775214753409</v>
      </c>
      <c r="U83" s="46">
        <f>IF(Calculations!$E23&gt;COUNT(Output!$B$35:U$35),Calculations!$B23,IF(Calculations!$E23=COUNT(Output!$B$35:U$35),Inputs!$B56-Calculations!$C23*(Calculations!$E23-1)+Calculations!$D23,0))</f>
        <v>232.5775214753409</v>
      </c>
      <c r="V83" s="46">
        <f>IF(Calculations!$E23&gt;COUNT(Output!$B$35:V$35),Calculations!$B23,IF(Calculations!$E23=COUNT(Output!$B$35:V$35),Inputs!$B56-Calculations!$C23*(Calculations!$E23-1)+Calculations!$D23,0))</f>
        <v>232.5775214753409</v>
      </c>
      <c r="W83" s="46">
        <f>IF(Calculations!$E23&gt;COUNT(Output!$B$35:W$35),Calculations!$B23,IF(Calculations!$E23=COUNT(Output!$B$35:W$35),Inputs!$B56-Calculations!$C23*(Calculations!$E23-1)+Calculations!$D23,0))</f>
        <v>232.5775214753409</v>
      </c>
      <c r="X83" s="46">
        <f>IF(Calculations!$E23&gt;COUNT(Output!$B$35:X$35),Calculations!$B23,IF(Calculations!$E23=COUNT(Output!$B$35:X$35),Inputs!$B56-Calculations!$C23*(Calculations!$E23-1)+Calculations!$D23,0))</f>
        <v>232.5775214753409</v>
      </c>
      <c r="Y83" s="46">
        <f>IF(Calculations!$E23&gt;COUNT(Output!$B$35:Y$35),Calculations!$B23,IF(Calculations!$E23=COUNT(Output!$B$35:Y$35),Inputs!$B56-Calculations!$C23*(Calculations!$E23-1)+Calculations!$D23,0))</f>
        <v>232.5775214753409</v>
      </c>
      <c r="Z83" s="46">
        <f>SUMIF($B$13:$Y$13,"Yes",B83:Y83)</f>
        <v>5581.860515408182</v>
      </c>
      <c r="AA83" s="46">
        <f>SUM(B83:M83)</f>
        <v>2790.930257704091</v>
      </c>
      <c r="AB83" s="46">
        <f>SUM(B83:Y83)</f>
        <v>5581.860515408182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1451.573292402149</v>
      </c>
      <c r="C84" s="46">
        <f>IF(Calculations!$E24&gt;COUNT(Output!$B$35:C$35),Calculations!$B24,IF(Calculations!$E24=COUNT(Output!$B$35:C$35),Inputs!$B57-Calculations!$C24*(Calculations!$E24-1)+Calculations!$D24,0))</f>
        <v>1451.573292402149</v>
      </c>
      <c r="D84" s="46">
        <f>IF(Calculations!$E24&gt;COUNT(Output!$B$35:D$35),Calculations!$B24,IF(Calculations!$E24=COUNT(Output!$B$35:D$35),Inputs!$B57-Calculations!$C24*(Calculations!$E24-1)+Calculations!$D24,0))</f>
        <v>1451.573292402149</v>
      </c>
      <c r="E84" s="46">
        <f>IF(Calculations!$E24&gt;COUNT(Output!$B$35:E$35),Calculations!$B24,IF(Calculations!$E24=COUNT(Output!$B$35:E$35),Inputs!$B57-Calculations!$C24*(Calculations!$E24-1)+Calculations!$D24,0))</f>
        <v>1451.573292402149</v>
      </c>
      <c r="F84" s="46">
        <f>IF(Calculations!$E24&gt;COUNT(Output!$B$35:F$35),Calculations!$B24,IF(Calculations!$E24=COUNT(Output!$B$35:F$35),Inputs!$B57-Calculations!$C24*(Calculations!$E24-1)+Calculations!$D24,0))</f>
        <v>1451.573292402149</v>
      </c>
      <c r="G84" s="46">
        <f>IF(Calculations!$E24&gt;COUNT(Output!$B$35:G$35),Calculations!$B24,IF(Calculations!$E24=COUNT(Output!$B$35:G$35),Inputs!$B57-Calculations!$C24*(Calculations!$E24-1)+Calculations!$D24,0))</f>
        <v>1451.573292402149</v>
      </c>
      <c r="H84" s="46">
        <f>IF(Calculations!$E24&gt;COUNT(Output!$B$35:H$35),Calculations!$B24,IF(Calculations!$E24=COUNT(Output!$B$35:H$35),Inputs!$B57-Calculations!$C24*(Calculations!$E24-1)+Calculations!$D24,0))</f>
        <v>1451.573292402149</v>
      </c>
      <c r="I84" s="46">
        <f>IF(Calculations!$E24&gt;COUNT(Output!$B$35:I$35),Calculations!$B24,IF(Calculations!$E24=COUNT(Output!$B$35:I$35),Inputs!$B57-Calculations!$C24*(Calculations!$E24-1)+Calculations!$D24,0))</f>
        <v>1451.573292402149</v>
      </c>
      <c r="J84" s="46">
        <f>IF(Calculations!$E24&gt;COUNT(Output!$B$35:J$35),Calculations!$B24,IF(Calculations!$E24=COUNT(Output!$B$35:J$35),Inputs!$B57-Calculations!$C24*(Calculations!$E24-1)+Calculations!$D24,0))</f>
        <v>1451.573292402149</v>
      </c>
      <c r="K84" s="46">
        <f>IF(Calculations!$E24&gt;COUNT(Output!$B$35:K$35),Calculations!$B24,IF(Calculations!$E24=COUNT(Output!$B$35:K$35),Inputs!$B57-Calculations!$C24*(Calculations!$E24-1)+Calculations!$D24,0))</f>
        <v>1451.573292402149</v>
      </c>
      <c r="L84" s="46">
        <f>IF(Calculations!$E24&gt;COUNT(Output!$B$35:L$35),Calculations!$B24,IF(Calculations!$E24=COUNT(Output!$B$35:L$35),Inputs!$B57-Calculations!$C24*(Calculations!$E24-1)+Calculations!$D24,0))</f>
        <v>1451.573292402149</v>
      </c>
      <c r="M84" s="46">
        <f>IF(Calculations!$E24&gt;COUNT(Output!$B$35:M$35),Calculations!$B24,IF(Calculations!$E24=COUNT(Output!$B$35:M$35),Inputs!$B57-Calculations!$C24*(Calculations!$E24-1)+Calculations!$D24,0))</f>
        <v>1451.573292402149</v>
      </c>
      <c r="N84" s="46">
        <f>IF(Calculations!$E24&gt;COUNT(Output!$B$35:N$35),Calculations!$B24,IF(Calculations!$E24=COUNT(Output!$B$35:N$35),Inputs!$B57-Calculations!$C24*(Calculations!$E24-1)+Calculations!$D24,0))</f>
        <v>1451.573292402149</v>
      </c>
      <c r="O84" s="46">
        <f>IF(Calculations!$E24&gt;COUNT(Output!$B$35:O$35),Calculations!$B24,IF(Calculations!$E24=COUNT(Output!$B$35:O$35),Inputs!$B57-Calculations!$C24*(Calculations!$E24-1)+Calculations!$D24,0))</f>
        <v>1451.573292402149</v>
      </c>
      <c r="P84" s="46">
        <f>IF(Calculations!$E24&gt;COUNT(Output!$B$35:P$35),Calculations!$B24,IF(Calculations!$E24=COUNT(Output!$B$35:P$35),Inputs!$B57-Calculations!$C24*(Calculations!$E24-1)+Calculations!$D24,0))</f>
        <v>1451.573292402149</v>
      </c>
      <c r="Q84" s="46">
        <f>IF(Calculations!$E24&gt;COUNT(Output!$B$35:Q$35),Calculations!$B24,IF(Calculations!$E24=COUNT(Output!$B$35:Q$35),Inputs!$B57-Calculations!$C24*(Calculations!$E24-1)+Calculations!$D24,0))</f>
        <v>1451.573292402149</v>
      </c>
      <c r="R84" s="46">
        <f>IF(Calculations!$E24&gt;COUNT(Output!$B$35:R$35),Calculations!$B24,IF(Calculations!$E24=COUNT(Output!$B$35:R$35),Inputs!$B57-Calculations!$C24*(Calculations!$E24-1)+Calculations!$D24,0))</f>
        <v>1451.573292402149</v>
      </c>
      <c r="S84" s="46">
        <f>IF(Calculations!$E24&gt;COUNT(Output!$B$35:S$35),Calculations!$B24,IF(Calculations!$E24=COUNT(Output!$B$35:S$35),Inputs!$B57-Calculations!$C24*(Calculations!$E24-1)+Calculations!$D24,0))</f>
        <v>1451.573292402149</v>
      </c>
      <c r="T84" s="46">
        <f>IF(Calculations!$E24&gt;COUNT(Output!$B$35:T$35),Calculations!$B24,IF(Calculations!$E24=COUNT(Output!$B$35:T$35),Inputs!$B57-Calculations!$C24*(Calculations!$E24-1)+Calculations!$D24,0))</f>
        <v>1451.573292402149</v>
      </c>
      <c r="U84" s="46">
        <f>IF(Calculations!$E24&gt;COUNT(Output!$B$35:U$35),Calculations!$B24,IF(Calculations!$E24=COUNT(Output!$B$35:U$35),Inputs!$B57-Calculations!$C24*(Calculations!$E24-1)+Calculations!$D24,0))</f>
        <v>1451.573292402149</v>
      </c>
      <c r="V84" s="46">
        <f>IF(Calculations!$E24&gt;COUNT(Output!$B$35:V$35),Calculations!$B24,IF(Calculations!$E24=COUNT(Output!$B$35:V$35),Inputs!$B57-Calculations!$C24*(Calculations!$E24-1)+Calculations!$D24,0))</f>
        <v>1451.573292402149</v>
      </c>
      <c r="W84" s="46">
        <f>IF(Calculations!$E24&gt;COUNT(Output!$B$35:W$35),Calculations!$B24,IF(Calculations!$E24=COUNT(Output!$B$35:W$35),Inputs!$B57-Calculations!$C24*(Calculations!$E24-1)+Calculations!$D24,0))</f>
        <v>1451.573292402149</v>
      </c>
      <c r="X84" s="46">
        <f>IF(Calculations!$E24&gt;COUNT(Output!$B$35:X$35),Calculations!$B24,IF(Calculations!$E24=COUNT(Output!$B$35:X$35),Inputs!$B57-Calculations!$C24*(Calculations!$E24-1)+Calculations!$D24,0))</f>
        <v>1451.573292402149</v>
      </c>
      <c r="Y84" s="46">
        <f>IF(Calculations!$E24&gt;COUNT(Output!$B$35:Y$35),Calculations!$B24,IF(Calculations!$E24=COUNT(Output!$B$35:Y$35),Inputs!$B57-Calculations!$C24*(Calculations!$E24-1)+Calculations!$D24,0))</f>
        <v>1451.573292402149</v>
      </c>
      <c r="Z84" s="46">
        <f>SUMIF($B$13:$Y$13,"Yes",B84:Y84)</f>
        <v>34837.75901765159</v>
      </c>
      <c r="AA84" s="46">
        <f>SUM(B84:M84)</f>
        <v>17418.87950882579</v>
      </c>
      <c r="AB84" s="46">
        <f>SUM(B84:Y84)</f>
        <v>34837.75901765159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9323.086355785837</v>
      </c>
      <c r="C85" s="46">
        <f>IF(Calculations!$E25&gt;COUNT(Output!$B$35:C$35),Calculations!$B25,IF(Calculations!$E25=COUNT(Output!$B$35:C$35),Inputs!$B58-Calculations!$C25*(Calculations!$E25-1)+Calculations!$D25,0))</f>
        <v>9323.086355785837</v>
      </c>
      <c r="D85" s="46">
        <f>IF(Calculations!$E25&gt;COUNT(Output!$B$35:D$35),Calculations!$B25,IF(Calculations!$E25=COUNT(Output!$B$35:D$35),Inputs!$B58-Calculations!$C25*(Calculations!$E25-1)+Calculations!$D25,0))</f>
        <v>9323.086355785837</v>
      </c>
      <c r="E85" s="46">
        <f>IF(Calculations!$E25&gt;COUNT(Output!$B$35:E$35),Calculations!$B25,IF(Calculations!$E25=COUNT(Output!$B$35:E$35),Inputs!$B58-Calculations!$C25*(Calculations!$E25-1)+Calculations!$D25,0))</f>
        <v>9323.086355785837</v>
      </c>
      <c r="F85" s="46">
        <f>IF(Calculations!$E25&gt;COUNT(Output!$B$35:F$35),Calculations!$B25,IF(Calculations!$E25=COUNT(Output!$B$35:F$35),Inputs!$B58-Calculations!$C25*(Calculations!$E25-1)+Calculations!$D25,0))</f>
        <v>9323.086355785837</v>
      </c>
      <c r="G85" s="46">
        <f>IF(Calculations!$E25&gt;COUNT(Output!$B$35:G$35),Calculations!$B25,IF(Calculations!$E25=COUNT(Output!$B$35:G$35),Inputs!$B58-Calculations!$C25*(Calculations!$E25-1)+Calculations!$D25,0))</f>
        <v>9323.086355785837</v>
      </c>
      <c r="H85" s="46">
        <f>IF(Calculations!$E25&gt;COUNT(Output!$B$35:H$35),Calculations!$B25,IF(Calculations!$E25=COUNT(Output!$B$35:H$35),Inputs!$B58-Calculations!$C25*(Calculations!$E25-1)+Calculations!$D25,0))</f>
        <v>9323.086355785837</v>
      </c>
      <c r="I85" s="46">
        <f>IF(Calculations!$E25&gt;COUNT(Output!$B$35:I$35),Calculations!$B25,IF(Calculations!$E25=COUNT(Output!$B$35:I$35),Inputs!$B58-Calculations!$C25*(Calculations!$E25-1)+Calculations!$D25,0))</f>
        <v>9323.086355785837</v>
      </c>
      <c r="J85" s="46">
        <f>IF(Calculations!$E25&gt;COUNT(Output!$B$35:J$35),Calculations!$B25,IF(Calculations!$E25=COUNT(Output!$B$35:J$35),Inputs!$B58-Calculations!$C25*(Calculations!$E25-1)+Calculations!$D25,0))</f>
        <v>9323.086355785837</v>
      </c>
      <c r="K85" s="46">
        <f>IF(Calculations!$E25&gt;COUNT(Output!$B$35:K$35),Calculations!$B25,IF(Calculations!$E25=COUNT(Output!$B$35:K$35),Inputs!$B58-Calculations!$C25*(Calculations!$E25-1)+Calculations!$D25,0))</f>
        <v>9323.086355785837</v>
      </c>
      <c r="L85" s="46">
        <f>IF(Calculations!$E25&gt;COUNT(Output!$B$35:L$35),Calculations!$B25,IF(Calculations!$E25=COUNT(Output!$B$35:L$35),Inputs!$B58-Calculations!$C25*(Calculations!$E25-1)+Calculations!$D25,0))</f>
        <v>68939.46977547496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162170.3333333333</v>
      </c>
      <c r="AA85" s="46">
        <f>SUM(B85:M85)</f>
        <v>162170.3333333333</v>
      </c>
      <c r="AB85" s="46">
        <f>SUM(B85:Y85)</f>
        <v>162170.3333333333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2644.631810017961</v>
      </c>
      <c r="C86" s="46">
        <f>IF(Calculations!$E26&gt;COUNT(Output!$B$35:C$35),Calculations!$B26,IF(Calculations!$E26=COUNT(Output!$B$35:C$35),Inputs!$B59-Calculations!$C26*(Calculations!$E26-1)+Calculations!$D26,0))</f>
        <v>2644.631810017961</v>
      </c>
      <c r="D86" s="46">
        <f>IF(Calculations!$E26&gt;COUNT(Output!$B$35:D$35),Calculations!$B26,IF(Calculations!$E26=COUNT(Output!$B$35:D$35),Inputs!$B59-Calculations!$C26*(Calculations!$E26-1)+Calculations!$D26,0))</f>
        <v>2644.631810017961</v>
      </c>
      <c r="E86" s="46">
        <f>IF(Calculations!$E26&gt;COUNT(Output!$B$35:E$35),Calculations!$B26,IF(Calculations!$E26=COUNT(Output!$B$35:E$35),Inputs!$B59-Calculations!$C26*(Calculations!$E26-1)+Calculations!$D26,0))</f>
        <v>2644.631810017961</v>
      </c>
      <c r="F86" s="46">
        <f>IF(Calculations!$E26&gt;COUNT(Output!$B$35:F$35),Calculations!$B26,IF(Calculations!$E26=COUNT(Output!$B$35:F$35),Inputs!$B59-Calculations!$C26*(Calculations!$E26-1)+Calculations!$D26,0))</f>
        <v>2644.631810017961</v>
      </c>
      <c r="G86" s="46">
        <f>IF(Calculations!$E26&gt;COUNT(Output!$B$35:G$35),Calculations!$B26,IF(Calculations!$E26=COUNT(Output!$B$35:G$35),Inputs!$B59-Calculations!$C26*(Calculations!$E26-1)+Calculations!$D26,0))</f>
        <v>2644.631810017961</v>
      </c>
      <c r="H86" s="46">
        <f>IF(Calculations!$E26&gt;COUNT(Output!$B$35:H$35),Calculations!$B26,IF(Calculations!$E26=COUNT(Output!$B$35:H$35),Inputs!$B59-Calculations!$C26*(Calculations!$E26-1)+Calculations!$D26,0))</f>
        <v>2644.631810017961</v>
      </c>
      <c r="I86" s="46">
        <f>IF(Calculations!$E26&gt;COUNT(Output!$B$35:I$35),Calculations!$B26,IF(Calculations!$E26=COUNT(Output!$B$35:I$35),Inputs!$B59-Calculations!$C26*(Calculations!$E26-1)+Calculations!$D26,0))</f>
        <v>2644.631810017961</v>
      </c>
      <c r="J86" s="46">
        <f>IF(Calculations!$E26&gt;COUNT(Output!$B$35:J$35),Calculations!$B26,IF(Calculations!$E26=COUNT(Output!$B$35:J$35),Inputs!$B59-Calculations!$C26*(Calculations!$E26-1)+Calculations!$D26,0))</f>
        <v>2644.631810017961</v>
      </c>
      <c r="K86" s="46">
        <f>IF(Calculations!$E26&gt;COUNT(Output!$B$35:K$35),Calculations!$B26,IF(Calculations!$E26=COUNT(Output!$B$35:K$35),Inputs!$B59-Calculations!$C26*(Calculations!$E26-1)+Calculations!$D26,0))</f>
        <v>2644.631810017961</v>
      </c>
      <c r="L86" s="46">
        <f>IF(Calculations!$E26&gt;COUNT(Output!$B$35:L$35),Calculations!$B26,IF(Calculations!$E26=COUNT(Output!$B$35:L$35),Inputs!$B59-Calculations!$C26*(Calculations!$E26-1)+Calculations!$D26,0))</f>
        <v>2644.631810017961</v>
      </c>
      <c r="M86" s="46">
        <f>IF(Calculations!$E26&gt;COUNT(Output!$B$35:M$35),Calculations!$B26,IF(Calculations!$E26=COUNT(Output!$B$35:M$35),Inputs!$B59-Calculations!$C26*(Calculations!$E26-1)+Calculations!$D26,0))</f>
        <v>2644.631810017961</v>
      </c>
      <c r="N86" s="46">
        <f>IF(Calculations!$E26&gt;COUNT(Output!$B$35:N$35),Calculations!$B26,IF(Calculations!$E26=COUNT(Output!$B$35:N$35),Inputs!$B59-Calculations!$C26*(Calculations!$E26-1)+Calculations!$D26,0))</f>
        <v>2644.631810017961</v>
      </c>
      <c r="O86" s="46">
        <f>IF(Calculations!$E26&gt;COUNT(Output!$B$35:O$35),Calculations!$B26,IF(Calculations!$E26=COUNT(Output!$B$35:O$35),Inputs!$B59-Calculations!$C26*(Calculations!$E26-1)+Calculations!$D26,0))</f>
        <v>2644.631810017961</v>
      </c>
      <c r="P86" s="46">
        <f>IF(Calculations!$E26&gt;COUNT(Output!$B$35:P$35),Calculations!$B26,IF(Calculations!$E26=COUNT(Output!$B$35:P$35),Inputs!$B59-Calculations!$C26*(Calculations!$E26-1)+Calculations!$D26,0))</f>
        <v>2644.631810017961</v>
      </c>
      <c r="Q86" s="46">
        <f>IF(Calculations!$E26&gt;COUNT(Output!$B$35:Q$35),Calculations!$B26,IF(Calculations!$E26=COUNT(Output!$B$35:Q$35),Inputs!$B59-Calculations!$C26*(Calculations!$E26-1)+Calculations!$D26,0))</f>
        <v>2644.631810017961</v>
      </c>
      <c r="R86" s="46">
        <f>IF(Calculations!$E26&gt;COUNT(Output!$B$35:R$35),Calculations!$B26,IF(Calculations!$E26=COUNT(Output!$B$35:R$35),Inputs!$B59-Calculations!$C26*(Calculations!$E26-1)+Calculations!$D26,0))</f>
        <v>2644.631810017961</v>
      </c>
      <c r="S86" s="46">
        <f>IF(Calculations!$E26&gt;COUNT(Output!$B$35:S$35),Calculations!$B26,IF(Calculations!$E26=COUNT(Output!$B$35:S$35),Inputs!$B59-Calculations!$C26*(Calculations!$E26-1)+Calculations!$D26,0))</f>
        <v>2644.631810017961</v>
      </c>
      <c r="T86" s="46">
        <f>IF(Calculations!$E26&gt;COUNT(Output!$B$35:T$35),Calculations!$B26,IF(Calculations!$E26=COUNT(Output!$B$35:T$35),Inputs!$B59-Calculations!$C26*(Calculations!$E26-1)+Calculations!$D26,0))</f>
        <v>2644.631810017961</v>
      </c>
      <c r="U86" s="46">
        <f>IF(Calculations!$E26&gt;COUNT(Output!$B$35:U$35),Calculations!$B26,IF(Calculations!$E26=COUNT(Output!$B$35:U$35),Inputs!$B59-Calculations!$C26*(Calculations!$E26-1)+Calculations!$D26,0))</f>
        <v>2644.631810017961</v>
      </c>
      <c r="V86" s="46">
        <f>IF(Calculations!$E26&gt;COUNT(Output!$B$35:V$35),Calculations!$B26,IF(Calculations!$E26=COUNT(Output!$B$35:V$35),Inputs!$B59-Calculations!$C26*(Calculations!$E26-1)+Calculations!$D26,0))</f>
        <v>2644.631810017961</v>
      </c>
      <c r="W86" s="46">
        <f>IF(Calculations!$E26&gt;COUNT(Output!$B$35:W$35),Calculations!$B26,IF(Calculations!$E26=COUNT(Output!$B$35:W$35),Inputs!$B59-Calculations!$C26*(Calculations!$E26-1)+Calculations!$D26,0))</f>
        <v>2644.631810017961</v>
      </c>
      <c r="X86" s="46">
        <f>IF(Calculations!$E26&gt;COUNT(Output!$B$35:X$35),Calculations!$B26,IF(Calculations!$E26=COUNT(Output!$B$35:X$35),Inputs!$B59-Calculations!$C26*(Calculations!$E26-1)+Calculations!$D26,0))</f>
        <v>2644.631810017961</v>
      </c>
      <c r="Y86" s="46">
        <f>IF(Calculations!$E26&gt;COUNT(Output!$B$35:Y$35),Calculations!$B26,IF(Calculations!$E26=COUNT(Output!$B$35:Y$35),Inputs!$B59-Calculations!$C26*(Calculations!$E26-1)+Calculations!$D26,0))</f>
        <v>2644.631810017961</v>
      </c>
      <c r="Z86" s="46">
        <f>SUMIF($B$13:$Y$13,"Yes",B86:Y86)</f>
        <v>63471.16344043108</v>
      </c>
      <c r="AA86" s="46">
        <f>SUM(B86:M86)</f>
        <v>31735.58172021552</v>
      </c>
      <c r="AB86" s="46">
        <f>SUM(B86:Y86)</f>
        <v>63471.16344043108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280574.9416613856</v>
      </c>
      <c r="C88" s="19">
        <f>SUM(C72:C82,C66,C60,C54,C48,C42,C36)</f>
        <v>280574.9416613856</v>
      </c>
      <c r="D88" s="19">
        <f>SUM(D72:D82,D66,D60,D54,D48,D42,D36)</f>
        <v>280574.9416613856</v>
      </c>
      <c r="E88" s="19">
        <f>SUM(E72:E82,E66,E60,E54,E48,E42,E36)</f>
        <v>280574.9416613856</v>
      </c>
      <c r="F88" s="19">
        <f>SUM(F72:F82,F66,F60,F54,F48,F42,F36)</f>
        <v>280574.9416613856</v>
      </c>
      <c r="G88" s="19">
        <f>SUM(G72:G82,G66,G60,G54,G48,G42,G36)</f>
        <v>280574.9416613856</v>
      </c>
      <c r="H88" s="19">
        <f>SUM(H72:H82,H66,H60,H54,H48,H42,H36)</f>
        <v>280574.9416613856</v>
      </c>
      <c r="I88" s="19">
        <f>SUM(I72:I82,I66,I60,I54,I48,I42,I36)</f>
        <v>280574.9416613856</v>
      </c>
      <c r="J88" s="19">
        <f>SUM(J72:J82,J66,J60,J54,J48,J42,J36)</f>
        <v>280574.9416613856</v>
      </c>
      <c r="K88" s="19">
        <f>SUM(K72:K82,K66,K60,K54,K48,K42,K36)</f>
        <v>280574.9416613856</v>
      </c>
      <c r="L88" s="19">
        <f>SUM(L72:L82,L66,L60,L54,L48,L42,L36)</f>
        <v>340191.3250810747</v>
      </c>
      <c r="M88" s="19">
        <f>SUM(M72:M82,M66,M60,M54,M48,M42,M36)</f>
        <v>331251.8553055997</v>
      </c>
      <c r="N88" s="19">
        <f>SUM(N72:N82,N66,N60,N54,N48,N42,N36)</f>
        <v>271251.8553055997</v>
      </c>
      <c r="O88" s="19">
        <f>SUM(O72:O82,O66,O60,O54,O48,O42,O36)</f>
        <v>271251.8553055997</v>
      </c>
      <c r="P88" s="19">
        <f>SUM(P72:P82,P66,P60,P54,P48,P42,P36)</f>
        <v>271251.8553055997</v>
      </c>
      <c r="Q88" s="19">
        <f>SUM(Q72:Q82,Q66,Q60,Q54,Q48,Q42,Q36)</f>
        <v>271251.8553055997</v>
      </c>
      <c r="R88" s="19">
        <f>SUM(R72:R82,R66,R60,R54,R48,R42,R36)</f>
        <v>271251.8553055997</v>
      </c>
      <c r="S88" s="19">
        <f>SUM(S72:S82,S66,S60,S54,S48,S42,S36)</f>
        <v>271251.8553055997</v>
      </c>
      <c r="T88" s="19">
        <f>SUM(T72:T82,T66,T60,T54,T48,T42,T36)</f>
        <v>271251.8553055997</v>
      </c>
      <c r="U88" s="19">
        <f>SUM(U72:U82,U66,U60,U54,U48,U42,U36)</f>
        <v>271251.8553055997</v>
      </c>
      <c r="V88" s="19">
        <f>SUM(V72:V82,V66,V60,V54,V48,V42,V36)</f>
        <v>271251.8553055997</v>
      </c>
      <c r="W88" s="19">
        <f>SUM(W72:W82,W66,W60,W54,W48,W42,W36)</f>
        <v>271251.8553055997</v>
      </c>
      <c r="X88" s="19">
        <f>SUM(X72:X82,X66,X60,X54,X48,X42,X36)</f>
        <v>271251.8553055997</v>
      </c>
      <c r="Y88" s="19">
        <f>SUM(Y72:Y82,Y66,Y60,Y54,Y48,Y42,Y36)</f>
        <v>271251.8553055997</v>
      </c>
      <c r="Z88" s="19">
        <f>SUMIF($B$13:$Y$13,"Yes",B88:Y88)</f>
        <v>6732214.860667731</v>
      </c>
      <c r="AA88" s="19">
        <f>SUM(B88:M88)</f>
        <v>3477192.597000531</v>
      </c>
      <c r="AB88" s="19">
        <f>SUM(B88:Y88)</f>
        <v>6732214.860667731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56000</v>
      </c>
    </row>
    <row r="95" spans="1:30">
      <c r="A95" t="s">
        <v>61</v>
      </c>
      <c r="B95" s="36">
        <f>Inputs!B47</f>
        <v>1000000</v>
      </c>
    </row>
    <row r="96" spans="1:30">
      <c r="A96" t="s">
        <v>62</v>
      </c>
      <c r="B96" s="36">
        <f>SUMPRODUCT(Inputs!C19:C21,Calculations!O14:O16)</f>
        <v>890500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3146500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278677</v>
      </c>
    </row>
    <row r="105" spans="1:30">
      <c r="A105" t="s">
        <v>70</v>
      </c>
      <c r="B105" s="36">
        <f>SUM(Inputs!B56:B60)</f>
        <v>278677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857354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900</v>
      </c>
      <c r="D19" s="145">
        <v>900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1</v>
      </c>
    </row>
    <row r="20" spans="1:48">
      <c r="A20" s="143" t="s">
        <v>105</v>
      </c>
      <c r="B20" s="16"/>
      <c r="C20" s="143">
        <v>4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 t="s">
        <v>107</v>
      </c>
      <c r="B21" s="23"/>
      <c r="C21" s="144">
        <v>1750</v>
      </c>
      <c r="D21" s="150">
        <v>350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63</v>
      </c>
      <c r="B35" s="159">
        <v>60000</v>
      </c>
      <c r="C35" s="145" t="s">
        <v>120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103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103</v>
      </c>
    </row>
    <row r="45" spans="1:48">
      <c r="A45" s="56" t="s">
        <v>128</v>
      </c>
      <c r="B45" s="161">
        <v>800000</v>
      </c>
    </row>
    <row r="46" spans="1:48" customHeight="1" ht="30">
      <c r="A46" s="57" t="s">
        <v>129</v>
      </c>
      <c r="B46" s="161">
        <v>400000</v>
      </c>
    </row>
    <row r="47" spans="1:48" customHeight="1" ht="30">
      <c r="A47" s="57" t="s">
        <v>130</v>
      </c>
      <c r="B47" s="161">
        <v>1000000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56000</v>
      </c>
    </row>
    <row r="50" spans="1:48">
      <c r="A50" s="43"/>
      <c r="B50" s="36"/>
    </row>
    <row r="51" spans="1:48">
      <c r="A51" s="58" t="s">
        <v>133</v>
      </c>
      <c r="B51" s="161">
        <v>278677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12400</v>
      </c>
      <c r="B56" s="159">
        <v>11430</v>
      </c>
      <c r="C56" s="162" t="s">
        <v>141</v>
      </c>
      <c r="D56" s="163" t="s">
        <v>142</v>
      </c>
      <c r="E56" s="163" t="s">
        <v>103</v>
      </c>
      <c r="F56" s="163" t="s">
        <v>143</v>
      </c>
    </row>
    <row r="57" spans="1:48">
      <c r="A57" s="157">
        <v>150000</v>
      </c>
      <c r="B57" s="157">
        <v>37210</v>
      </c>
      <c r="C57" s="164" t="s">
        <v>144</v>
      </c>
      <c r="D57" s="165" t="s">
        <v>145</v>
      </c>
      <c r="E57" s="165" t="s">
        <v>103</v>
      </c>
      <c r="F57" s="165" t="s">
        <v>146</v>
      </c>
    </row>
    <row r="58" spans="1:48">
      <c r="A58" s="157">
        <v>320000</v>
      </c>
      <c r="B58" s="157">
        <v>97637</v>
      </c>
      <c r="C58" s="164" t="s">
        <v>147</v>
      </c>
      <c r="D58" s="165" t="s">
        <v>145</v>
      </c>
      <c r="E58" s="165" t="s">
        <v>103</v>
      </c>
      <c r="F58" s="165" t="s">
        <v>146</v>
      </c>
    </row>
    <row r="59" spans="1:48">
      <c r="A59" s="157">
        <v>150000</v>
      </c>
      <c r="B59" s="157">
        <v>132400</v>
      </c>
      <c r="C59" s="164" t="s">
        <v>148</v>
      </c>
      <c r="D59" s="165" t="s">
        <v>149</v>
      </c>
      <c r="E59" s="165" t="s">
        <v>103</v>
      </c>
      <c r="F59" s="165" t="s">
        <v>150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152</v>
      </c>
      <c r="C65" s="10" t="s">
        <v>153</v>
      </c>
    </row>
    <row r="66" spans="1:48">
      <c r="A66" s="142" t="s">
        <v>154</v>
      </c>
      <c r="B66" s="159">
        <v>624158</v>
      </c>
      <c r="C66" s="163">
        <v>537857</v>
      </c>
      <c r="D66" s="49">
        <f>INDEX(Parameters!$D$79:$D$90,MATCH(Inputs!A66,Parameters!$C$79:$C$90,0))</f>
        <v>10</v>
      </c>
    </row>
    <row r="67" spans="1:48">
      <c r="A67" s="143" t="s">
        <v>155</v>
      </c>
      <c r="B67" s="157">
        <v>612114</v>
      </c>
      <c r="C67" s="165">
        <v>555743</v>
      </c>
      <c r="D67" s="49">
        <f>INDEX(Parameters!$D$79:$D$90,MATCH(Inputs!A67,Parameters!$C$79:$C$90,0))</f>
        <v>11</v>
      </c>
    </row>
    <row r="68" spans="1:48">
      <c r="A68" s="143" t="s">
        <v>156</v>
      </c>
      <c r="B68" s="157">
        <v>529614</v>
      </c>
      <c r="C68" s="165">
        <v>462116</v>
      </c>
      <c r="D68" s="49">
        <f>INDEX(Parameters!$D$79:$D$90,MATCH(Inputs!A68,Parameters!$C$79:$C$90,0))</f>
        <v>12</v>
      </c>
    </row>
    <row r="69" spans="1:48">
      <c r="A69" s="143" t="s">
        <v>157</v>
      </c>
      <c r="B69" s="157">
        <v>924909</v>
      </c>
      <c r="C69" s="165">
        <v>816795</v>
      </c>
      <c r="D69" s="49">
        <f>INDEX(Parameters!$D$79:$D$90,MATCH(Inputs!A69,Parameters!$C$79:$C$90,0))</f>
        <v>1</v>
      </c>
    </row>
    <row r="70" spans="1:48">
      <c r="A70" s="143" t="s">
        <v>120</v>
      </c>
      <c r="B70" s="157">
        <v>476312</v>
      </c>
      <c r="C70" s="165">
        <v>420738</v>
      </c>
      <c r="D70" s="49">
        <f>INDEX(Parameters!$D$79:$D$90,MATCH(Inputs!A70,Parameters!$C$79:$C$90,0))</f>
        <v>2</v>
      </c>
    </row>
    <row r="71" spans="1:48">
      <c r="A71" s="144" t="s">
        <v>158</v>
      </c>
      <c r="B71" s="158">
        <v>440653</v>
      </c>
      <c r="C71" s="167">
        <v>378428</v>
      </c>
      <c r="D71" s="49">
        <f>INDEX(Parameters!$D$79:$D$90,MATCH(Inputs!A71,Parameters!$C$79:$C$90,0))</f>
        <v>3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300000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900</v>
      </c>
      <c r="E14" s="16">
        <f>Inputs!D19</f>
        <v>900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1314000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328500</v>
      </c>
      <c r="R14" s="63">
        <f>IFERROR(D14*INDEX(Parameters!$A$22:$P$29,MATCH(Calculations!$A14,Parameters!$A$22:$A$29,0),MATCH(Parameters!$M$22,Parameters!$A$22:$P$22,0)),"")</f>
        <v>7680</v>
      </c>
      <c r="S14" s="63">
        <f>IFERROR(D14*INDEX(Parameters!$A$22:$P$29,MATCH(Calculations!$A14,Parameters!$A$22:$A$29,0),MATCH(Parameters!$N$22,Parameters!$A$22:$P$22,0)),"")</f>
        <v>61748.12030075187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9200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</v>
      </c>
      <c r="R15" s="64">
        <f>IFERROR(D15*INDEX(Parameters!$A$22:$P$29,MATCH(Calculations!$A15,Parameters!$A$22:$A$29,0),MATCH(Parameters!$M$22,Parameters!$A$22:$P$22,0)),"")</f>
        <v>800</v>
      </c>
      <c r="S15" s="64">
        <f>IFERROR(D15*INDEX(Parameters!$A$22:$P$29,MATCH(Calculations!$A15,Parameters!$A$22:$A$29,0),MATCH(Parameters!$N$22,Parameters!$A$22:$P$22,0)),"")</f>
        <v>1200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1750</v>
      </c>
      <c r="E16" s="16">
        <f>Inputs!D21</f>
        <v>350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1.32</v>
      </c>
      <c r="H16" s="122">
        <f>IFERROR(IF(B16="meat",INDEX(Parameters!$A$22:$P$29,MATCH(Calculations!A16,Parameters!$A$22:$A$29,0),MATCH(Parameters!$I$22,Parameters!$A$22:$P$22,0))*G16,""),"")</f>
        <v>1.32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4620000</v>
      </c>
      <c r="Q16" s="64">
        <f>IFERROR(D16*INDEX(Parameters!$A$22:$P$29,MATCH(Calculations!$A16,Parameters!$A$22:$A$29,0),MATCH(Parameters!$L$22,Parameters!$A$22:$P$22,0))*IF(Inputs!I21="Always",1,IF(Inputs!I21="Sometimes",0.5,0))*365,"")</f>
        <v>638750</v>
      </c>
      <c r="R16" s="64">
        <f>IFERROR(D16*INDEX(Parameters!$A$22:$P$29,MATCH(Calculations!$A16,Parameters!$A$22:$A$29,0),MATCH(Parameters!$M$22,Parameters!$A$22:$P$22,0)),"")</f>
        <v>84000</v>
      </c>
      <c r="S16" s="64">
        <f>IFERROR(D16*INDEX(Parameters!$A$22:$P$29,MATCH(Calculations!$A16,Parameters!$A$22:$A$29,0),MATCH(Parameters!$N$22,Parameters!$A$22:$P$22,0)),"")</f>
        <v>70000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900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12400</v>
      </c>
      <c r="B23" s="75">
        <f>SUM(C23:D23)</f>
        <v>232.5775214753409</v>
      </c>
      <c r="C23" s="75">
        <f>IF(Inputs!B56&gt;0,(Inputs!A56-Inputs!B56)/(DATE(YEAR(Inputs!$B$76),MONTH(Inputs!$B$76),DAY(Inputs!$B$76))-DATE(YEAR(Inputs!C56),MONTH(Inputs!C56),DAY(Inputs!C56)))*30,0)</f>
        <v>5.244188142007569</v>
      </c>
      <c r="D23" s="75">
        <f>IF(Inputs!B56&gt;0,Inputs!A56*0.22/12,0)</f>
        <v>227.3333333333333</v>
      </c>
      <c r="E23" s="75">
        <f>IFERROR(ROUNDUP(Inputs!B56/C23,0),0)</f>
        <v>2180</v>
      </c>
    </row>
    <row r="24" spans="1:52">
      <c r="A24" s="46">
        <f>Inputs!A57</f>
        <v>150000</v>
      </c>
      <c r="B24" s="46">
        <f>SUM(C24:D24)</f>
        <v>1451.573292402149</v>
      </c>
      <c r="C24" s="46">
        <f>IF(Inputs!B57&gt;0,(Inputs!A57-Inputs!B57)/(DATE(YEAR(Inputs!$B$76),MONTH(Inputs!$B$76),DAY(Inputs!$B$76))-DATE(YEAR(Inputs!C57),MONTH(Inputs!C57),DAY(Inputs!C57)))*30,0)</f>
        <v>-1298.426707597851</v>
      </c>
      <c r="D24" s="46">
        <f>IF(Inputs!B57&gt;0,Inputs!A57*0.22/12,0)</f>
        <v>2750</v>
      </c>
      <c r="E24" s="46">
        <f>IFERROR(ROUNDUP(Inputs!B57/B24,0),0)</f>
        <v>26</v>
      </c>
      <c r="H24" s="1"/>
    </row>
    <row r="25" spans="1:52">
      <c r="A25" s="46">
        <f>Inputs!A58</f>
        <v>320000</v>
      </c>
      <c r="B25" s="46">
        <f>SUM(C25:D25)</f>
        <v>9323.086355785837</v>
      </c>
      <c r="C25" s="46">
        <f>IF(Inputs!B58&gt;0,(Inputs!A58-Inputs!B58)/(DATE(YEAR(Inputs!$B$76),MONTH(Inputs!$B$76),DAY(Inputs!$B$76))-DATE(YEAR(Inputs!C58),MONTH(Inputs!C58),DAY(Inputs!C58)))*30,0)</f>
        <v>3456.419689119171</v>
      </c>
      <c r="D25" s="46">
        <f>IF(Inputs!B58&gt;0,Inputs!A58*0.22/12,0)</f>
        <v>5866.666666666667</v>
      </c>
      <c r="E25" s="46">
        <f>IFERROR(ROUNDUP(Inputs!B58/B25,0),0)</f>
        <v>11</v>
      </c>
    </row>
    <row r="26" spans="1:52">
      <c r="A26" s="46">
        <f>Inputs!A59</f>
        <v>150000</v>
      </c>
      <c r="B26" s="46">
        <f>SUM(C26:D26)</f>
        <v>2644.631810017961</v>
      </c>
      <c r="C26" s="46">
        <f>IF(Inputs!B59&gt;0,(Inputs!A59-Inputs!B59)/(DATE(YEAR(Inputs!$B$76),MONTH(Inputs!$B$76),DAY(Inputs!$B$76))-DATE(YEAR(Inputs!C59),MONTH(Inputs!C59),DAY(Inputs!C59)))*30,0)</f>
        <v>-105.3681899820395</v>
      </c>
      <c r="D26" s="46">
        <f>IF(Inputs!B59&gt;0,Inputs!A59*0.22/12,0)</f>
        <v>2750</v>
      </c>
      <c r="E26" s="46">
        <f>IFERROR(ROUNDUP(Inputs!B59/B26,0),0)</f>
        <v>51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42865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42856</v>
      </c>
      <c r="F33" t="s">
        <v>164</v>
      </c>
      <c r="G33" s="128">
        <f>IF(Inputs!B79="","",DATE(YEAR(Inputs!B79),MONTH(Inputs!B79),DAY(Inputs!B79)))</f>
        <v>42828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42896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42887</v>
      </c>
      <c r="F34" t="s">
        <v>166</v>
      </c>
      <c r="G34" s="128">
        <f>IF(Inputs!B80="","",DATE(YEAR(Inputs!B80),MONTH(Inputs!B80),DAY(Inputs!B80)))</f>
        <v>42865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42926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42917</v>
      </c>
      <c r="F35" t="s">
        <v>168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42957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42948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42988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42979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43018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43009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43049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43040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43079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43070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43110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43101</v>
      </c>
      <c r="F41" t="s">
        <v>232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43141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43132</v>
      </c>
      <c r="F42" t="s">
        <v>233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43169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43200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43230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43261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43291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43322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43353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43383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43374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43414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43405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43444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43435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43475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43466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43506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43497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43534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43525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43565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43556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206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102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107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90</v>
      </c>
      <c r="B41" s="191" t="s">
        <v>317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107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126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103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126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106</v>
      </c>
      <c r="H78" s="12" t="s">
        <v>320</v>
      </c>
      <c r="I78" s="12" t="s">
        <v>361</v>
      </c>
      <c r="J78" s="70" t="s">
        <v>362</v>
      </c>
      <c r="K78" s="12" t="s">
        <v>317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363</v>
      </c>
      <c r="F79" s="12" t="s">
        <v>364</v>
      </c>
      <c r="G79" s="12" t="s">
        <v>104</v>
      </c>
      <c r="I79" s="12" t="s">
        <v>171</v>
      </c>
      <c r="J79" s="70" t="s">
        <v>365</v>
      </c>
      <c r="K79" s="12" t="s">
        <v>317</v>
      </c>
      <c r="AJ79" s="12"/>
    </row>
    <row r="80" spans="1:36">
      <c r="B80" s="176">
        <v>20</v>
      </c>
      <c r="C80" s="12" t="s">
        <v>120</v>
      </c>
      <c r="D80" s="12">
        <f>D79+1</f>
        <v>2</v>
      </c>
      <c r="E80" s="12" t="s">
        <v>366</v>
      </c>
      <c r="F80" s="12" t="s">
        <v>367</v>
      </c>
      <c r="J80" s="70" t="s">
        <v>368</v>
      </c>
      <c r="K80" s="12" t="s">
        <v>103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