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<sst xmlns="http://schemas.openxmlformats.org/spreadsheetml/2006/main" uniqueCount="366">
  <si>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</si>
  <si>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</si>
  <si>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</si>
  <si>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</si>
  <si>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</si>
  <si>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</si>
  <si>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</si>
  <si>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</si>
  <si>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</si>
  <si>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</si>
  <si>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</si>
  <si>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</si>
  <si>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</si>
  <si>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</si>
  <si>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</si>
  <si>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</si>
  <si>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</si>
  <si>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</si>
  <si>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</si>
  <si>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</si>
  <si>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</si>
  <si>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</si>
  <si>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</si>
  <si>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</si>
  <si>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</si>
  <si>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</si>
  <si>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</si>
  <si>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</si>
  <si>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</si>
  <si>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</si>
  <si>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</si>
  <si>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</si>
  <si>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</si>
  <si>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</si>
  <si>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</si>
  <si>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</si>
  <si>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</si>
  <si>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</si>
  <si>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</si>
  <si>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</si>
  <si>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</si>
  <si>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</si>
  <si>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</si>
  <si>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</si>
  <si>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</si>
  <si>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</si>
  <si>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</si>
  <si>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</si>
  <si>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</si>
  <si>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</si>
  <si>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</si>
  <si>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</si>
  <si>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</si>
  <si>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</si>
  <si>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</si>
  <si>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</si>
  <si>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</si>
  <si>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</si>
  <si>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</si>
  <si>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</si>
  <si>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</si>
  <si>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</si>
  <si>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</si>
  <si>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</si>
  <si>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</si>
  <si>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</si>
  <si>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</si>
  <si>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</si>
  <si>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</si>
  <si>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</si>
  <si>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</si>
  <si>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</si>
  <si>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</si>
  <si>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</si>
  <si>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</si>
  <si>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</si>
  <si>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</si>
  <si>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</si>
  <si>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</si>
  <si>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</si>
  <si>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</si>
  <si>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</si>
  <si>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</si>
  <si>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</si>
  <si>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</si>
  <si>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</si>
  <si>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</si>
  <si>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</si>
  <si>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</si>
  <si>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</si>
  <si>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</si>
  <si>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Inorganic fertizers</t>
  </si>
  <si>
    <t>Yes</t>
  </si>
  <si>
    <t>No</t>
  </si>
  <si>
    <t>June</t>
  </si>
  <si>
    <t>Potatoes</t>
  </si>
  <si>
    <t>July</t>
  </si>
  <si>
    <t>Onions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</si>
  <si>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</si>
  <si>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</si>
  <si>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</si>
  <si>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</si>
  <si>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</si>
  <si>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</si>
  <si>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</si>
  <si>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</si>
  <si>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</si>
  <si>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</si>
  <si>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</si>
  <si>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</si>
  <si>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</si>
  <si>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</si>
  <si>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</si>
  <si>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</si>
  <si>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</si>
  <si>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Broker for selling and buying of properties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</si>
  <si>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</si>
  <si>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</si>
  <si>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</si>
  <si>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</si>
  <si>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</si>
  <si>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</si>
  <si>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</si>
  <si>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</si>
  <si>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</si>
  <si>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</si>
  <si>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</si>
  <si>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</si>
  <si>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</si>
  <si>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</si>
  <si>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</si>
  <si>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</si>
  <si>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</si>
  <si>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</si>
  <si>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</si>
  <si>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</si>
  <si>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</si>
  <si>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</si>
  <si>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</si>
  <si>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</si>
  <si>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</si>
  <si>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</si>
  <si>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</si>
  <si>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</si>
  <si>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</si>
  <si>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</si>
  <si>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</si>
  <si>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</si>
  <si>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</si>
  <si>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</si>
  <si>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</si>
  <si>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</si>
  <si>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</si>
  <si>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</si>
  <si>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</si>
  <si>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2017/4/10</t>
  </si>
  <si>
    <t>Loan terms</t>
  </si>
  <si>
    <t>Expected disbursement date</t>
  </si>
  <si>
    <t>Expected first repayment date</t>
  </si>
  <si>
    <t>2017/5/10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</si>
  <si>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</si>
  <si>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</si>
  <si>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</si>
  <si>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</si>
  <si>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</si>
  <si>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</si>
  <si>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</si>
  <si>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</si>
  <si>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</si>
  <si>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</si>
  <si>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</si>
  <si>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</si>
  <si>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</si>
  <si>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</si>
  <si>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</si>
  <si>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</si>
  <si>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</si>
  <si>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</si>
  <si>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</si>
  <si>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</si>
  <si>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</si>
  <si>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</si>
  <si>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</si>
  <si>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</si>
  <si>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</si>
  <si>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</si>
  <si>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</si>
  <si>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</si>
  <si>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</si>
  <si>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</si>
  <si>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</si>
  <si>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</si>
  <si>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</si>
  <si>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</si>
  <si>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</si>
  <si>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</si>
  <si>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</si>
  <si>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</si>
  <si>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</si>
  <si>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</si>
  <si>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</si>
  <si>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</si>
  <si>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</si>
  <si>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</si>
  <si>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</si>
  <si>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</si>
  <si>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</si>
  <si>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</si>
  <si>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</si>
  <si>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</si>
  <si>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</si>
  <si>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</si>
  <si>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</si>
  <si>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</si>
  <si>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</si>
  <si>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</si>
  <si>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</si>
  <si>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</si>
  <si>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</si>
  <si>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</si>
  <si>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</si>
  <si>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</si>
  <si>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</si>
  <si>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</si>
  <si>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</si>
  <si>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</si>
  <si>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</si>
  <si>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</si>
  <si>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</si>
  <si>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</si>
  <si>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</si>
  <si>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</si>
  <si>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</si>
  <si>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</si>
  <si>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</si>
  <si>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</si>
  <si>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</si>
  <si>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</si>
  <si>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</si>
  <si>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</si>
  <si>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</si>
  <si>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</si>
  <si>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</si>
  <si>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</si>
  <si>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</si>
  <si>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</si>
  <si>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</si>
  <si>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</si>
  <si>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</si>
  <si>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</si>
  <si>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</si>
  <si>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</si>
  <si>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</si>
  <si>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</si>
  <si>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</si>
  <si>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</si>
  <si>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</si>
  <si>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</si>
  <si>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</si>
  <si>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</si>
  <si>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</si>
  <si>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</si>
  <si>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</si>
  <si>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</si>
  <si>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</si>
  <si>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</si>
  <si>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</si>
  <si>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</si>
  <si>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</si>
  <si>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</si>
  <si>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</si>
  <si>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</si>
  <si>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</si>
  <si>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</si>
  <si>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</si>
  <si>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</si>
  <si>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</si>
  <si>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</si>
  <si>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</si>
  <si>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</si>
  <si>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</si>
  <si>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</si>
  <si>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</si>
  <si>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</si>
  <si>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</si>
  <si>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</si>
  <si>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</si>
  <si>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</si>
  <si>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</si>
  <si>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</si>
  <si>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</si>
  <si>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</si>
  <si>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</si>
  <si>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</si>
  <si>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</si>
  <si>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</si>
  <si>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</si>
  <si>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</si>
  <si>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</si>
  <si>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</si>
  <si>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</si>
  <si>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</si>
  <si>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</si>
  <si>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</si>
  <si>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</si>
  <si>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</si>
  <si>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</si>
  <si>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</si>
  <si>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</si>
  <si>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</si>
  <si>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</si>
  <si>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</si>
  <si>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</si>
  <si>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</si>
  <si>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</si>
  <si>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</si>
  <si>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</si>
  <si>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</si>
  <si>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</si>
  <si>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</si>
  <si>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</si>
  <si>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</si>
  <si>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</si>
  <si>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</si>
  <si>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</si>
  <si>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</si>
  <si>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</si>
  <si>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</si>
  <si>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</si>
  <si>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</si>
  <si>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</si>
  <si>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</si>
  <si>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</si>
  <si>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</si>
  <si>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</si>
  <si>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</si>
  <si>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</si>
  <si>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</si>
  <si>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</si>
  <si>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</si>
  <si>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</si>
  <si>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</si>
  <si>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</si>
  <si>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</si>
  <si>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</si>
  <si>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</si>
  <si>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</si>
  <si>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</si>
  <si>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</si>
  <si>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</si>
  <si>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</si>
  <si>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</si>
  <si>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</si>
  <si>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</si>
  <si>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</si>
  <si>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</si>
  <si>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</si>
  <si>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</si>
  <si>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</si>
  <si>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</si>
  <si>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</si>
  <si>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</si>
  <si>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April</t>
  </si>
  <si>
    <t>May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</si>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</sst>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Potatoes, Onions,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Broker for selling and buying of properties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0.1495338382578524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0.02032128514056225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709749.5795992764</v>
      </c>
    </row>
    <row r="18" spans="1:7">
      <c r="B18" s="1" t="s">
        <v>12</v>
      </c>
      <c r="C18" s="36">
        <f>MIN(Output!B6:M6)</f>
        <v>-96380.53219995982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437632.4262593978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-20630.53219995982</v>
      </c>
      <c r="C6" s="51">
        <f>C30-C88</f>
        <v>437632.4262593978</v>
      </c>
      <c r="D6" s="51">
        <f>D30-D88</f>
        <v>-19286.53219995982</v>
      </c>
      <c r="E6" s="51">
        <f>E30-E88</f>
        <v>-96380.53219995982</v>
      </c>
      <c r="F6" s="51">
        <f>F30-F88</f>
        <v>-27180.53219995982</v>
      </c>
      <c r="G6" s="51">
        <f>G30-G88</f>
        <v>80720.49234007989</v>
      </c>
      <c r="H6" s="51">
        <f>H30-H88</f>
        <v>-20630.53219995982</v>
      </c>
      <c r="I6" s="51">
        <f>I30-I88</f>
        <v>437632.4262593978</v>
      </c>
      <c r="J6" s="51">
        <f>J30-J88</f>
        <v>-19286.53219995982</v>
      </c>
      <c r="K6" s="51">
        <f>K30-K88</f>
        <v>-96380.53219995982</v>
      </c>
      <c r="L6" s="51">
        <f>L30-L88</f>
        <v>-27180.53219995982</v>
      </c>
      <c r="M6" s="51">
        <f>M30-M88</f>
        <v>80720.49234007989</v>
      </c>
      <c r="N6" s="51">
        <f>N30-N88</f>
        <v>-20630.53219995982</v>
      </c>
      <c r="O6" s="51">
        <f>O30-O88</f>
        <v>437632.4262593978</v>
      </c>
      <c r="P6" s="51">
        <f>P30-P88</f>
        <v>-19286.53219995982</v>
      </c>
      <c r="Q6" s="51">
        <f>Q30-Q88</f>
        <v>-96380.53219995982</v>
      </c>
      <c r="R6" s="51">
        <f>R30-R88</f>
        <v>-27180.53219995982</v>
      </c>
      <c r="S6" s="51">
        <f>S30-S88</f>
        <v>80720.49234007989</v>
      </c>
      <c r="T6" s="51">
        <f>T30-T88</f>
        <v>-20630.53219995982</v>
      </c>
      <c r="U6" s="51">
        <f>U30-U88</f>
        <v>437632.4262593978</v>
      </c>
      <c r="V6" s="51">
        <f>V30-V88</f>
        <v>-19286.53219995982</v>
      </c>
      <c r="W6" s="51">
        <f>W30-W88</f>
        <v>-96380.53219995982</v>
      </c>
      <c r="X6" s="51">
        <f>X30-X88</f>
        <v>-27180.53219995982</v>
      </c>
      <c r="Y6" s="51">
        <f>Y30-Y88</f>
        <v>80720.49234007989</v>
      </c>
      <c r="Z6" s="51">
        <f>SUMIF($B$13:$Y$13,"Yes",B6:Y6)</f>
        <v>689119.0473993166</v>
      </c>
      <c r="AA6" s="51">
        <f>AA30-AA88</f>
        <v>709749.5795992765</v>
      </c>
      <c r="AB6" s="51">
        <f>AB30-AB88</f>
        <v>1419499.159198554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42070</v>
      </c>
      <c r="I7" s="80">
        <f>IF(ISERROR(VLOOKUP(MONTH(I5),Inputs!$D$66:$D$71,1,0)),"",INDEX(Inputs!$B$66:$B$71,MATCH(MONTH(Output!I5),Inputs!$D$66:$D$71,0))-INDEX(Inputs!$C$66:$C$71,MATCH(MONTH(Output!I5),Inputs!$D$66:$D$71,0)))</f>
        <v>17850</v>
      </c>
      <c r="J7" s="80">
        <f>IF(ISERROR(VLOOKUP(MONTH(J5),Inputs!$D$66:$D$71,1,0)),"",INDEX(Inputs!$B$66:$B$71,MATCH(MONTH(Output!J5),Inputs!$D$66:$D$71,0))-INDEX(Inputs!$C$66:$C$71,MATCH(MONTH(Output!J5),Inputs!$D$66:$D$71,0)))</f>
        <v>14783</v>
      </c>
      <c r="K7" s="80">
        <f>IF(ISERROR(VLOOKUP(MONTH(K5),Inputs!$D$66:$D$71,1,0)),"",INDEX(Inputs!$B$66:$B$71,MATCH(MONTH(Output!K5),Inputs!$D$66:$D$71,0))-INDEX(Inputs!$C$66:$C$71,MATCH(MONTH(Output!K5),Inputs!$D$66:$D$71,0)))</f>
        <v>12570</v>
      </c>
      <c r="L7" s="80">
        <f>IF(ISERROR(VLOOKUP(MONTH(L5),Inputs!$D$66:$D$71,1,0)),"",INDEX(Inputs!$B$66:$B$71,MATCH(MONTH(Output!L5),Inputs!$D$66:$D$71,0))-INDEX(Inputs!$C$66:$C$71,MATCH(MONTH(Output!L5),Inputs!$D$66:$D$71,0)))</f>
        <v>10254</v>
      </c>
      <c r="M7" s="80">
        <f>IF(ISERROR(VLOOKUP(MONTH(M5),Inputs!$D$66:$D$71,1,0)),"",INDEX(Inputs!$B$66:$B$71,MATCH(MONTH(Output!M5),Inputs!$D$66:$D$71,0))-INDEX(Inputs!$C$66:$C$71,MATCH(MONTH(Output!M5),Inputs!$D$66:$D$71,0)))</f>
        <v>16240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42070</v>
      </c>
      <c r="U7" s="80">
        <f>IF(ISERROR(VLOOKUP(MONTH(U5),Inputs!$D$66:$D$71,1,0)),"",INDEX(Inputs!$B$66:$B$71,MATCH(MONTH(Output!U5),Inputs!$D$66:$D$71,0))-INDEX(Inputs!$C$66:$C$71,MATCH(MONTH(Output!U5),Inputs!$D$66:$D$71,0)))</f>
        <v>17850</v>
      </c>
      <c r="V7" s="80">
        <f>IF(ISERROR(VLOOKUP(MONTH(V5),Inputs!$D$66:$D$71,1,0)),"",INDEX(Inputs!$B$66:$B$71,MATCH(MONTH(Output!V5),Inputs!$D$66:$D$71,0))-INDEX(Inputs!$C$66:$C$71,MATCH(MONTH(Output!V5),Inputs!$D$66:$D$71,0)))</f>
        <v>14783</v>
      </c>
      <c r="W7" s="80">
        <f>IF(ISERROR(VLOOKUP(MONTH(W5),Inputs!$D$66:$D$71,1,0)),"",INDEX(Inputs!$B$66:$B$71,MATCH(MONTH(Output!W5),Inputs!$D$66:$D$71,0))-INDEX(Inputs!$C$66:$C$71,MATCH(MONTH(Output!W5),Inputs!$D$66:$D$71,0)))</f>
        <v>12570</v>
      </c>
      <c r="X7" s="80">
        <f>IF(ISERROR(VLOOKUP(MONTH(X5),Inputs!$D$66:$D$71,1,0)),"",INDEX(Inputs!$B$66:$B$71,MATCH(MONTH(Output!X5),Inputs!$D$66:$D$71,0))-INDEX(Inputs!$C$66:$C$71,MATCH(MONTH(Output!X5),Inputs!$D$66:$D$71,0)))</f>
        <v>10254</v>
      </c>
      <c r="Y7" s="80">
        <f>IF(ISERROR(VLOOKUP(MONTH(Y5),Inputs!$D$66:$D$71,1,0)),"",INDEX(Inputs!$B$66:$B$71,MATCH(MONTH(Output!Y5),Inputs!$D$66:$D$71,0))-INDEX(Inputs!$C$66:$C$71,MATCH(MONTH(Output!Y5),Inputs!$D$66:$D$71,0)))</f>
        <v>16240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79369.46780004018</v>
      </c>
      <c r="C11" s="80">
        <f>C6+C9-C10</f>
        <v>427799.0929260644</v>
      </c>
      <c r="D11" s="80">
        <f>D6+D9-D10</f>
        <v>-29119.86553329316</v>
      </c>
      <c r="E11" s="80">
        <f>E6+E9-E10</f>
        <v>-106213.8655332932</v>
      </c>
      <c r="F11" s="80">
        <f>F6+F9-F10</f>
        <v>-37013.86553329316</v>
      </c>
      <c r="G11" s="80">
        <f>G6+G9-G10</f>
        <v>70887.15900674656</v>
      </c>
      <c r="H11" s="80">
        <f>H6+H9-H10</f>
        <v>-30463.86553329316</v>
      </c>
      <c r="I11" s="80">
        <f>I6+I9-I10</f>
        <v>427799.0929260644</v>
      </c>
      <c r="J11" s="80">
        <f>J6+J9-J10</f>
        <v>-29119.86553329316</v>
      </c>
      <c r="K11" s="80">
        <f>K6+K9-K10</f>
        <v>-106213.8655332932</v>
      </c>
      <c r="L11" s="80">
        <f>L6+L9-L10</f>
        <v>-37013.86553329316</v>
      </c>
      <c r="M11" s="80">
        <f>M6+M9-M10</f>
        <v>70887.15900674656</v>
      </c>
      <c r="N11" s="80">
        <f>N6+N9-N10</f>
        <v>-30463.86553329316</v>
      </c>
      <c r="O11" s="80">
        <f>O6+O9-O10</f>
        <v>437632.4262593978</v>
      </c>
      <c r="P11" s="80">
        <f>P6+P9-P10</f>
        <v>-19286.53219995982</v>
      </c>
      <c r="Q11" s="80">
        <f>Q6+Q9-Q10</f>
        <v>-96380.53219995982</v>
      </c>
      <c r="R11" s="80">
        <f>R6+R9-R10</f>
        <v>-27180.53219995982</v>
      </c>
      <c r="S11" s="80">
        <f>S6+S9-S10</f>
        <v>80720.49234007989</v>
      </c>
      <c r="T11" s="80">
        <f>T6+T9-T10</f>
        <v>-20630.53219995982</v>
      </c>
      <c r="U11" s="80">
        <f>U6+U9-U10</f>
        <v>437632.4262593978</v>
      </c>
      <c r="V11" s="80">
        <f>V6+V9-V10</f>
        <v>-19286.53219995982</v>
      </c>
      <c r="W11" s="80">
        <f>W6+W9-W10</f>
        <v>-96380.53219995982</v>
      </c>
      <c r="X11" s="80">
        <f>X6+X9-X10</f>
        <v>-27180.53219995982</v>
      </c>
      <c r="Y11" s="80">
        <f>Y6+Y9-Y10</f>
        <v>80720.49234007989</v>
      </c>
      <c r="Z11" s="85">
        <f>SUMIF($B$13:$Y$13,"Yes",B11:Y11)</f>
        <v>671119.0473993171</v>
      </c>
      <c r="AA11" s="80">
        <f>SUM(B11:M11)</f>
        <v>701582.9129326103</v>
      </c>
      <c r="AB11" s="46">
        <f>SUM(B11:Y11)</f>
        <v>1401499.159198554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0.01901991742452462</v>
      </c>
      <c r="D12" s="82">
        <f>IF(D13="Yes",IF(SUM($B$10:D10)/(SUM($B$6:D6)+SUM($B$9:D9))&lt;0,999.99,SUM($B$10:D10)/(SUM($B$6:D6)+SUM($B$9:D9))),"")</f>
        <v>0.03951388318253121</v>
      </c>
      <c r="E12" s="82">
        <f>IF(E13="Yes",IF(SUM($B$10:E10)/(SUM($B$6:E6)+SUM($B$9:E9))&lt;0,999.99,SUM($B$10:E10)/(SUM($B$6:E6)+SUM($B$9:E9))),"")</f>
        <v>0.07350470933466456</v>
      </c>
      <c r="F12" s="82">
        <f>IF(F13="Yes",IF(SUM($B$10:F10)/(SUM($B$6:F6)+SUM($B$9:F9))&lt;0,999.99,SUM($B$10:F10)/(SUM($B$6:F6)+SUM($B$9:F9))),"")</f>
        <v>0.1051259696879061</v>
      </c>
      <c r="G12" s="82">
        <f>IF(G13="Yes",IF(SUM($B$10:G10)/(SUM($B$6:G6)+SUM($B$9:G9))&lt;0,999.99,SUM($B$10:G10)/(SUM($B$6:G6)+SUM($B$9:G9))),"")</f>
        <v>0.1080883525954987</v>
      </c>
      <c r="H12" s="82">
        <f>IF(H13="Yes",IF(SUM($B$10:H10)/(SUM($B$6:H6)+SUM($B$9:H9))&lt;0,999.99,SUM($B$10:H10)/(SUM($B$6:H6)+SUM($B$9:H9))),"")</f>
        <v>0.1358682330680145</v>
      </c>
      <c r="I12" s="82">
        <f>IF(I13="Yes",IF(SUM($B$10:I10)/(SUM($B$6:I6)+SUM($B$9:I9))&lt;0,999.99,SUM($B$10:I10)/(SUM($B$6:I6)+SUM($B$9:I9))),"")</f>
        <v>0.07894847357158948</v>
      </c>
      <c r="J12" s="82">
        <f>IF(J13="Yes",IF(SUM($B$10:J10)/(SUM($B$6:J6)+SUM($B$9:J9))&lt;0,999.99,SUM($B$10:J10)/(SUM($B$6:J6)+SUM($B$9:J9))),"")</f>
        <v>0.09226785755568906</v>
      </c>
      <c r="K12" s="82">
        <f>IF(K13="Yes",IF(SUM($B$10:K10)/(SUM($B$6:K6)+SUM($B$9:K9))&lt;0,999.99,SUM($B$10:K10)/(SUM($B$6:K6)+SUM($B$9:K9))),"")</f>
        <v>0.1170310423494685</v>
      </c>
      <c r="L12" s="82">
        <f>IF(L13="Yes",IF(SUM($B$10:L10)/(SUM($B$6:L6)+SUM($B$9:L9))&lt;0,999.99,SUM($B$10:L10)/(SUM($B$6:L6)+SUM($B$9:L9))),"")</f>
        <v>0.1348825925492493</v>
      </c>
      <c r="M12" s="82">
        <f>IF(M13="Yes",IF(SUM($B$10:M10)/(SUM($B$6:M6)+SUM($B$9:M9))&lt;0,999.99,SUM($B$10:M10)/(SUM($B$6:M6)+SUM($B$9:M9))),"")</f>
        <v>0.1335803924964005</v>
      </c>
      <c r="N12" s="82">
        <f>IF(N13="Yes",IF(SUM($B$10:N10)/(SUM($B$6:N6)+SUM($B$9:N9))&lt;0,999.99,SUM($B$10:N10)/(SUM($B$6:N6)+SUM($B$9:N9))),"")</f>
        <v>0.1495338382578524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120001.0245400397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120001.0245400397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120001.0245400397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120001.0245400397</v>
      </c>
      <c r="Z18" s="36">
        <f>SUMIF($B$13:$Y$13,"Yes",B18:Y18)</f>
        <v>240002.0490800794</v>
      </c>
      <c r="AA18" s="36">
        <f>SUM(B18:M18)</f>
        <v>240002.0490800794</v>
      </c>
      <c r="AB18" s="36">
        <f>SUM(B18:Y18)</f>
        <v>480004.0981601588</v>
      </c>
      <c r="AC18" s="43"/>
      <c r="AD18" s="43"/>
    </row>
    <row r="19" spans="1:30">
      <c r="A19" t="str">
        <f>IF(Calculations!A5&lt;&gt;Parameters!$A$18,IF(Calculations!A5=0,"",Calculations!A5),Inputs!B8)</f>
        <v>Potatoes</v>
      </c>
      <c r="B19" s="36">
        <f>N19</f>
        <v>0</v>
      </c>
      <c r="C19" s="36">
        <f>O19</f>
        <v>273171.8302862934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273171.8302862934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273171.8302862934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273171.8302862934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546343.6605725868</v>
      </c>
      <c r="AA19" s="36">
        <f>SUM(B19:M19)</f>
        <v>546343.6605725868</v>
      </c>
      <c r="AB19" s="36">
        <f>SUM(B19:Y19)</f>
        <v>1092687.321145174</v>
      </c>
      <c r="AC19" s="43"/>
      <c r="AD19" s="43"/>
    </row>
    <row r="20" spans="1:30">
      <c r="A20" t="str">
        <f>IF(Calculations!A6&lt;&gt;Parameters!$A$18,IF(Calculations!A6=0,"",Calculations!A6),Inputs!B9)</f>
        <v>Onions</v>
      </c>
      <c r="B20" s="36">
        <f>N20</f>
        <v>0</v>
      </c>
      <c r="C20" s="36">
        <f>O20</f>
        <v>185091.1281730642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185091.1281730642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185091.1281730642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185091.1281730642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370182.2563461284</v>
      </c>
      <c r="AA20" s="36">
        <f>SUM(B20:M20)</f>
        <v>370182.2563461284</v>
      </c>
      <c r="AB20" s="36">
        <f>SUM(B20:Y20)</f>
        <v>740364.5126922567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30000</v>
      </c>
      <c r="C30" s="19">
        <f>SUM(C18:C29)</f>
        <v>488262.9584593576</v>
      </c>
      <c r="D30" s="19">
        <f>SUM(D18:D29)</f>
        <v>30000</v>
      </c>
      <c r="E30" s="19">
        <f>SUM(E18:E29)</f>
        <v>30000</v>
      </c>
      <c r="F30" s="19">
        <f>SUM(F18:F29)</f>
        <v>30000</v>
      </c>
      <c r="G30" s="19">
        <f>SUM(G18:G29)</f>
        <v>150001.0245400397</v>
      </c>
      <c r="H30" s="19">
        <f>SUM(H18:H29)</f>
        <v>30000</v>
      </c>
      <c r="I30" s="19">
        <f>SUM(I18:I29)</f>
        <v>488262.9584593576</v>
      </c>
      <c r="J30" s="19">
        <f>SUM(J18:J29)</f>
        <v>30000</v>
      </c>
      <c r="K30" s="19">
        <f>SUM(K18:K29)</f>
        <v>30000</v>
      </c>
      <c r="L30" s="19">
        <f>SUM(L18:L29)</f>
        <v>30000</v>
      </c>
      <c r="M30" s="19">
        <f>SUM(M18:M29)</f>
        <v>150001.0245400397</v>
      </c>
      <c r="N30" s="19">
        <f>SUM(N18:N29)</f>
        <v>30000</v>
      </c>
      <c r="O30" s="19">
        <f>SUM(O18:O29)</f>
        <v>488262.9584593576</v>
      </c>
      <c r="P30" s="19">
        <f>SUM(P18:P29)</f>
        <v>30000</v>
      </c>
      <c r="Q30" s="19">
        <f>SUM(Q18:Q29)</f>
        <v>30000</v>
      </c>
      <c r="R30" s="19">
        <f>SUM(R18:R29)</f>
        <v>30000</v>
      </c>
      <c r="S30" s="19">
        <f>SUM(S18:S29)</f>
        <v>150001.0245400397</v>
      </c>
      <c r="T30" s="19">
        <f>SUM(T18:T29)</f>
        <v>30000</v>
      </c>
      <c r="U30" s="19">
        <f>SUM(U18:U29)</f>
        <v>488262.9584593576</v>
      </c>
      <c r="V30" s="19">
        <f>SUM(V18:V29)</f>
        <v>30000</v>
      </c>
      <c r="W30" s="19">
        <f>SUM(W18:W29)</f>
        <v>30000</v>
      </c>
      <c r="X30" s="19">
        <f>SUM(X18:X29)</f>
        <v>30000</v>
      </c>
      <c r="Y30" s="19">
        <f>SUM(Y18:Y29)</f>
        <v>150001.0245400397</v>
      </c>
      <c r="Z30" s="19">
        <f>SUMIF($B$13:$Y$13,"Yes",B30:Y30)</f>
        <v>1546527.965998795</v>
      </c>
      <c r="AA30" s="19">
        <f>SUM(B30:M30)</f>
        <v>1516527.965998795</v>
      </c>
      <c r="AB30" s="19">
        <f>SUM(B30:Y30)</f>
        <v>3033055.931997589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Potatoes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Onions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2106</v>
      </c>
      <c r="E42" s="36">
        <f>Q42</f>
        <v>72000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2106</v>
      </c>
      <c r="K42" s="36">
        <f>W42</f>
        <v>72000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2106</v>
      </c>
      <c r="Q42" s="36">
        <f>SUM(Q43:Q47)</f>
        <v>72000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2106</v>
      </c>
      <c r="W42" s="36">
        <f>SUM(W43:W47)</f>
        <v>72000</v>
      </c>
      <c r="X42" s="36">
        <f>SUM(X43:X47)</f>
        <v>0</v>
      </c>
      <c r="Y42" s="36">
        <f>SUM(Y43:Y47)</f>
        <v>0</v>
      </c>
      <c r="Z42" s="36">
        <f>SUMIF($B$13:$Y$13,"Yes",B42:Y42)</f>
        <v>148212</v>
      </c>
      <c r="AA42" s="36">
        <f>SUM(B42:M42)</f>
        <v>148212</v>
      </c>
      <c r="AB42" s="36">
        <f>SUM(B42:Y42)</f>
        <v>296424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606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606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606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606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Potatoes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72000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72000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72000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72000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144000</v>
      </c>
      <c r="AA44" s="36">
        <f>SUM(B44:M44)</f>
        <v>144000</v>
      </c>
      <c r="AB44" s="36">
        <f>SUM(B44:Y44)</f>
        <v>288000</v>
      </c>
    </row>
    <row r="45" spans="1:30" hidden="true" outlineLevel="1">
      <c r="A45" s="181" t="str">
        <f>Calculations!$A$6</f>
        <v>Onions</v>
      </c>
      <c r="B45" s="36">
        <f>N45</f>
        <v>0</v>
      </c>
      <c r="C45" s="36">
        <f>O45</f>
        <v>0</v>
      </c>
      <c r="D45" s="36">
        <f>P45</f>
        <v>1500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1500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1500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1500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3000</v>
      </c>
      <c r="AA45" s="36">
        <f>SUM(B45:M45)</f>
        <v>3000</v>
      </c>
      <c r="AB45" s="36">
        <f>SUM(B45:Y45)</f>
        <v>6000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2800</v>
      </c>
      <c r="G48" s="36">
        <f>S48</f>
        <v>14900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2800</v>
      </c>
      <c r="M48" s="36">
        <f>Y48</f>
        <v>14900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2800</v>
      </c>
      <c r="S48" s="46">
        <f>SUM(S49:S53)</f>
        <v>14900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2800</v>
      </c>
      <c r="Y48" s="46">
        <f>SUM(Y49:Y53)</f>
        <v>14900</v>
      </c>
      <c r="Z48" s="46">
        <f>SUMIF($B$13:$Y$13,"Yes",B48:Y48)</f>
        <v>35400</v>
      </c>
      <c r="AA48" s="46">
        <f>SUM(B48:M48)</f>
        <v>35400</v>
      </c>
      <c r="AB48" s="46">
        <f>SUM(B48:Y48)</f>
        <v>70800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2800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2800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2800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2800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5600</v>
      </c>
      <c r="AA49" s="46">
        <f>SUM(B49:M49)</f>
        <v>5600</v>
      </c>
      <c r="AB49" s="46">
        <f>SUM(B49:Y49)</f>
        <v>11200</v>
      </c>
    </row>
    <row r="50" spans="1:30" hidden="true" outlineLevel="1">
      <c r="A50" s="181" t="str">
        <f>Calculations!$A$5</f>
        <v>Potatoes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12900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12900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12900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12900</v>
      </c>
      <c r="Z50" s="46">
        <f>SUMIF($B$13:$Y$13,"Yes",B50:Y50)</f>
        <v>25800</v>
      </c>
      <c r="AA50" s="46">
        <f>SUM(B50:M50)</f>
        <v>25800</v>
      </c>
      <c r="AB50" s="46">
        <f>SUM(B50:Y50)</f>
        <v>51600</v>
      </c>
    </row>
    <row r="51" spans="1:30" hidden="true" outlineLevel="1">
      <c r="A51" s="181" t="str">
        <f>Calculations!$A$6</f>
        <v>Onions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2000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2000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2000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2000</v>
      </c>
      <c r="Z51" s="46">
        <f>SUMIF($B$13:$Y$13,"Yes",B51:Y51)</f>
        <v>4000</v>
      </c>
      <c r="AA51" s="46">
        <f>SUM(B51:M51)</f>
        <v>4000</v>
      </c>
      <c r="AB51" s="46">
        <f>SUM(B51:Y51)</f>
        <v>8000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Potatoes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Onions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Potatoes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Onions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9700</v>
      </c>
      <c r="C66" s="36">
        <f>O66</f>
        <v>9700</v>
      </c>
      <c r="D66" s="36">
        <f>P66</f>
        <v>6250</v>
      </c>
      <c r="E66" s="36">
        <f>Q66</f>
        <v>13450</v>
      </c>
      <c r="F66" s="36">
        <f>R66</f>
        <v>13450</v>
      </c>
      <c r="G66" s="36">
        <f>S66</f>
        <v>13450</v>
      </c>
      <c r="H66" s="36">
        <f>T66</f>
        <v>9700</v>
      </c>
      <c r="I66" s="36">
        <f>U66</f>
        <v>9700</v>
      </c>
      <c r="J66" s="36">
        <f>V66</f>
        <v>6250</v>
      </c>
      <c r="K66" s="36">
        <f>W66</f>
        <v>13450</v>
      </c>
      <c r="L66" s="36">
        <f>X66</f>
        <v>13450</v>
      </c>
      <c r="M66" s="36">
        <f>Y66</f>
        <v>13450</v>
      </c>
      <c r="N66" s="46">
        <f>SUM(N67:N71)</f>
        <v>9700</v>
      </c>
      <c r="O66" s="46">
        <f>SUM(O67:O71)</f>
        <v>9700</v>
      </c>
      <c r="P66" s="46">
        <f>SUM(P67:P71)</f>
        <v>6250</v>
      </c>
      <c r="Q66" s="46">
        <f>SUM(Q67:Q71)</f>
        <v>13450</v>
      </c>
      <c r="R66" s="46">
        <f>SUM(R67:R71)</f>
        <v>13450</v>
      </c>
      <c r="S66" s="46">
        <f>SUM(S67:S71)</f>
        <v>13450</v>
      </c>
      <c r="T66" s="46">
        <f>SUM(T67:T71)</f>
        <v>9700</v>
      </c>
      <c r="U66" s="46">
        <f>SUM(U67:U71)</f>
        <v>9700</v>
      </c>
      <c r="V66" s="46">
        <f>SUM(V67:V71)</f>
        <v>6250</v>
      </c>
      <c r="W66" s="46">
        <f>SUM(W67:W71)</f>
        <v>13450</v>
      </c>
      <c r="X66" s="46">
        <f>SUM(X67:X71)</f>
        <v>13450</v>
      </c>
      <c r="Y66" s="46">
        <f>SUM(Y67:Y71)</f>
        <v>13450</v>
      </c>
      <c r="Z66" s="46">
        <f>SUMIF($B$13:$Y$13,"Yes",B66:Y66)</f>
        <v>141700</v>
      </c>
      <c r="AA66" s="46">
        <f>SUM(B66:M66)</f>
        <v>132000</v>
      </c>
      <c r="AB66" s="46">
        <f>SUM(B66:Y66)</f>
        <v>264000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0</v>
      </c>
      <c r="D67" s="36">
        <f>P67</f>
        <v>3750</v>
      </c>
      <c r="E67" s="36">
        <f>Q67</f>
        <v>3750</v>
      </c>
      <c r="F67" s="36">
        <f>R67</f>
        <v>3750</v>
      </c>
      <c r="G67" s="36">
        <f>S67</f>
        <v>3750</v>
      </c>
      <c r="H67" s="36">
        <f>T67</f>
        <v>0</v>
      </c>
      <c r="I67" s="36">
        <f>U67</f>
        <v>0</v>
      </c>
      <c r="J67" s="36">
        <f>V67</f>
        <v>3750</v>
      </c>
      <c r="K67" s="36">
        <f>W67</f>
        <v>3750</v>
      </c>
      <c r="L67" s="36">
        <f>X67</f>
        <v>3750</v>
      </c>
      <c r="M67" s="36">
        <f>Y67</f>
        <v>3750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3750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3750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3750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3750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3750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3750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3750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3750</v>
      </c>
      <c r="Z67" s="46">
        <f>SUMIF($B$13:$Y$13,"Yes",B67:Y67)</f>
        <v>30000</v>
      </c>
      <c r="AA67" s="46">
        <f>SUM(B67:M67)</f>
        <v>30000</v>
      </c>
      <c r="AB67" s="46">
        <f>SUM(B67:Y67)</f>
        <v>60000</v>
      </c>
    </row>
    <row r="68" spans="1:30" hidden="true" outlineLevel="1">
      <c r="A68" s="181" t="str">
        <f>Calculations!$A$5</f>
        <v>Potatoes</v>
      </c>
      <c r="B68" s="36">
        <f>N68</f>
        <v>7200</v>
      </c>
      <c r="C68" s="36">
        <f>O68</f>
        <v>7200</v>
      </c>
      <c r="D68" s="36">
        <f>P68</f>
        <v>0</v>
      </c>
      <c r="E68" s="36">
        <f>Q68</f>
        <v>7200</v>
      </c>
      <c r="F68" s="36">
        <f>R68</f>
        <v>7200</v>
      </c>
      <c r="G68" s="36">
        <f>S68</f>
        <v>7200</v>
      </c>
      <c r="H68" s="36">
        <f>T68</f>
        <v>7200</v>
      </c>
      <c r="I68" s="36">
        <f>U68</f>
        <v>7200</v>
      </c>
      <c r="J68" s="36">
        <f>V68</f>
        <v>0</v>
      </c>
      <c r="K68" s="36">
        <f>W68</f>
        <v>7200</v>
      </c>
      <c r="L68" s="36">
        <f>X68</f>
        <v>7200</v>
      </c>
      <c r="M68" s="36">
        <f>Y68</f>
        <v>7200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7200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7200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7200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7200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7200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7200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7200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7200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7200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7200</v>
      </c>
      <c r="Z68" s="46">
        <f>SUMIF($B$13:$Y$13,"Yes",B68:Y68)</f>
        <v>79200</v>
      </c>
      <c r="AA68" s="46">
        <f>SUM(B68:M68)</f>
        <v>72000</v>
      </c>
      <c r="AB68" s="46">
        <f>SUM(B68:Y68)</f>
        <v>144000</v>
      </c>
    </row>
    <row r="69" spans="1:30" hidden="true" outlineLevel="1">
      <c r="A69" s="181" t="str">
        <f>Calculations!$A$6</f>
        <v>Onions</v>
      </c>
      <c r="B69" s="36">
        <f>N69</f>
        <v>2500</v>
      </c>
      <c r="C69" s="36">
        <f>O69</f>
        <v>2500</v>
      </c>
      <c r="D69" s="36">
        <f>P69</f>
        <v>2500</v>
      </c>
      <c r="E69" s="36">
        <f>Q69</f>
        <v>2500</v>
      </c>
      <c r="F69" s="36">
        <f>R69</f>
        <v>2500</v>
      </c>
      <c r="G69" s="36">
        <f>S69</f>
        <v>2500</v>
      </c>
      <c r="H69" s="36">
        <f>T69</f>
        <v>2500</v>
      </c>
      <c r="I69" s="36">
        <f>U69</f>
        <v>2500</v>
      </c>
      <c r="J69" s="36">
        <f>V69</f>
        <v>2500</v>
      </c>
      <c r="K69" s="36">
        <f>W69</f>
        <v>2500</v>
      </c>
      <c r="L69" s="36">
        <f>X69</f>
        <v>2500</v>
      </c>
      <c r="M69" s="36">
        <f>Y69</f>
        <v>2500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2500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2500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2500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2500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2500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2500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2500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2500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2500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2500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2500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2500</v>
      </c>
      <c r="Z69" s="46">
        <f>SUMIF($B$13:$Y$13,"Yes",B69:Y69)</f>
        <v>32500</v>
      </c>
      <c r="AA69" s="46">
        <f>SUM(B69:M69)</f>
        <v>30000</v>
      </c>
      <c r="AB69" s="46">
        <f>SUM(B69:Y69)</f>
        <v>60000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</v>
      </c>
      <c r="C79" s="46">
        <f>Inputs!$B$31</f>
        <v>1500</v>
      </c>
      <c r="D79" s="46">
        <f>Inputs!$B$31</f>
        <v>1500</v>
      </c>
      <c r="E79" s="46">
        <f>Inputs!$B$31</f>
        <v>1500</v>
      </c>
      <c r="F79" s="46">
        <f>Inputs!$B$31</f>
        <v>1500</v>
      </c>
      <c r="G79" s="46">
        <f>Inputs!$B$31</f>
        <v>1500</v>
      </c>
      <c r="H79" s="46">
        <f>Inputs!$B$31</f>
        <v>1500</v>
      </c>
      <c r="I79" s="46">
        <f>Inputs!$B$31</f>
        <v>1500</v>
      </c>
      <c r="J79" s="46">
        <f>Inputs!$B$31</f>
        <v>1500</v>
      </c>
      <c r="K79" s="46">
        <f>Inputs!$B$31</f>
        <v>1500</v>
      </c>
      <c r="L79" s="46">
        <f>Inputs!$B$31</f>
        <v>1500</v>
      </c>
      <c r="M79" s="46">
        <f>Inputs!$B$31</f>
        <v>1500</v>
      </c>
      <c r="N79" s="46">
        <f>Inputs!$B$31</f>
        <v>1500</v>
      </c>
      <c r="O79" s="46">
        <f>Inputs!$B$31</f>
        <v>1500</v>
      </c>
      <c r="P79" s="46">
        <f>Inputs!$B$31</f>
        <v>1500</v>
      </c>
      <c r="Q79" s="46">
        <f>Inputs!$B$31</f>
        <v>1500</v>
      </c>
      <c r="R79" s="46">
        <f>Inputs!$B$31</f>
        <v>1500</v>
      </c>
      <c r="S79" s="46">
        <f>Inputs!$B$31</f>
        <v>1500</v>
      </c>
      <c r="T79" s="46">
        <f>Inputs!$B$31</f>
        <v>1500</v>
      </c>
      <c r="U79" s="46">
        <f>Inputs!$B$31</f>
        <v>1500</v>
      </c>
      <c r="V79" s="46">
        <f>Inputs!$B$31</f>
        <v>1500</v>
      </c>
      <c r="W79" s="46">
        <f>Inputs!$B$31</f>
        <v>1500</v>
      </c>
      <c r="X79" s="46">
        <f>Inputs!$B$31</f>
        <v>1500</v>
      </c>
      <c r="Y79" s="46">
        <f>Inputs!$B$31</f>
        <v>1500</v>
      </c>
      <c r="Z79" s="46">
        <f>SUMIF($B$13:$Y$13,"Yes",B79:Y79)</f>
        <v>19500</v>
      </c>
      <c r="AA79" s="46">
        <f>SUM(B79:M79)</f>
        <v>18000</v>
      </c>
      <c r="AB79" s="46">
        <f>SUM(B79:Y79)</f>
        <v>36000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39430.53219995982</v>
      </c>
      <c r="C81" s="46">
        <f>(SUM($AA$18:$AA$29)-SUM($AA$36,$AA$42,$AA$48,$AA$54,$AA$60,$AA$66,$AA$72:$AA$79))*Parameters!$B$37/12</f>
        <v>39430.53219995982</v>
      </c>
      <c r="D81" s="46">
        <f>(SUM($AA$18:$AA$29)-SUM($AA$36,$AA$42,$AA$48,$AA$54,$AA$60,$AA$66,$AA$72:$AA$79))*Parameters!$B$37/12</f>
        <v>39430.53219995982</v>
      </c>
      <c r="E81" s="46">
        <f>(SUM($AA$18:$AA$29)-SUM($AA$36,$AA$42,$AA$48,$AA$54,$AA$60,$AA$66,$AA$72:$AA$79))*Parameters!$B$37/12</f>
        <v>39430.53219995982</v>
      </c>
      <c r="F81" s="46">
        <f>(SUM($AA$18:$AA$29)-SUM($AA$36,$AA$42,$AA$48,$AA$54,$AA$60,$AA$66,$AA$72:$AA$79))*Parameters!$B$37/12</f>
        <v>39430.53219995982</v>
      </c>
      <c r="G81" s="46">
        <f>(SUM($AA$18:$AA$29)-SUM($AA$36,$AA$42,$AA$48,$AA$54,$AA$60,$AA$66,$AA$72:$AA$79))*Parameters!$B$37/12</f>
        <v>39430.53219995982</v>
      </c>
      <c r="H81" s="46">
        <f>(SUM($AA$18:$AA$29)-SUM($AA$36,$AA$42,$AA$48,$AA$54,$AA$60,$AA$66,$AA$72:$AA$79))*Parameters!$B$37/12</f>
        <v>39430.53219995982</v>
      </c>
      <c r="I81" s="46">
        <f>(SUM($AA$18:$AA$29)-SUM($AA$36,$AA$42,$AA$48,$AA$54,$AA$60,$AA$66,$AA$72:$AA$79))*Parameters!$B$37/12</f>
        <v>39430.53219995982</v>
      </c>
      <c r="J81" s="46">
        <f>(SUM($AA$18:$AA$29)-SUM($AA$36,$AA$42,$AA$48,$AA$54,$AA$60,$AA$66,$AA$72:$AA$79))*Parameters!$B$37/12</f>
        <v>39430.53219995982</v>
      </c>
      <c r="K81" s="46">
        <f>(SUM($AA$18:$AA$29)-SUM($AA$36,$AA$42,$AA$48,$AA$54,$AA$60,$AA$66,$AA$72:$AA$79))*Parameters!$B$37/12</f>
        <v>39430.53219995982</v>
      </c>
      <c r="L81" s="46">
        <f>(SUM($AA$18:$AA$29)-SUM($AA$36,$AA$42,$AA$48,$AA$54,$AA$60,$AA$66,$AA$72:$AA$79))*Parameters!$B$37/12</f>
        <v>39430.53219995982</v>
      </c>
      <c r="M81" s="46">
        <f>(SUM($AA$18:$AA$29)-SUM($AA$36,$AA$42,$AA$48,$AA$54,$AA$60,$AA$66,$AA$72:$AA$79))*Parameters!$B$37/12</f>
        <v>39430.53219995982</v>
      </c>
      <c r="N81" s="46">
        <f>(SUM($AA$18:$AA$29)-SUM($AA$36,$AA$42,$AA$48,$AA$54,$AA$60,$AA$66,$AA$72:$AA$79))*Parameters!$B$37/12</f>
        <v>39430.53219995982</v>
      </c>
      <c r="O81" s="46">
        <f>(SUM($AA$18:$AA$29)-SUM($AA$36,$AA$42,$AA$48,$AA$54,$AA$60,$AA$66,$AA$72:$AA$79))*Parameters!$B$37/12</f>
        <v>39430.53219995982</v>
      </c>
      <c r="P81" s="46">
        <f>(SUM($AA$18:$AA$29)-SUM($AA$36,$AA$42,$AA$48,$AA$54,$AA$60,$AA$66,$AA$72:$AA$79))*Parameters!$B$37/12</f>
        <v>39430.53219995982</v>
      </c>
      <c r="Q81" s="46">
        <f>(SUM($AA$18:$AA$29)-SUM($AA$36,$AA$42,$AA$48,$AA$54,$AA$60,$AA$66,$AA$72:$AA$79))*Parameters!$B$37/12</f>
        <v>39430.53219995982</v>
      </c>
      <c r="R81" s="46">
        <f>(SUM($AA$18:$AA$29)-SUM($AA$36,$AA$42,$AA$48,$AA$54,$AA$60,$AA$66,$AA$72:$AA$79))*Parameters!$B$37/12</f>
        <v>39430.53219995982</v>
      </c>
      <c r="S81" s="46">
        <f>(SUM($AA$18:$AA$29)-SUM($AA$36,$AA$42,$AA$48,$AA$54,$AA$60,$AA$66,$AA$72:$AA$79))*Parameters!$B$37/12</f>
        <v>39430.53219995982</v>
      </c>
      <c r="T81" s="46">
        <f>(SUM($AA$18:$AA$29)-SUM($AA$36,$AA$42,$AA$48,$AA$54,$AA$60,$AA$66,$AA$72:$AA$79))*Parameters!$B$37/12</f>
        <v>39430.53219995982</v>
      </c>
      <c r="U81" s="46">
        <f>(SUM($AA$18:$AA$29)-SUM($AA$36,$AA$42,$AA$48,$AA$54,$AA$60,$AA$66,$AA$72:$AA$79))*Parameters!$B$37/12</f>
        <v>39430.53219995982</v>
      </c>
      <c r="V81" s="46">
        <f>(SUM($AA$18:$AA$29)-SUM($AA$36,$AA$42,$AA$48,$AA$54,$AA$60,$AA$66,$AA$72:$AA$79))*Parameters!$B$37/12</f>
        <v>39430.53219995982</v>
      </c>
      <c r="W81" s="46">
        <f>(SUM($AA$18:$AA$29)-SUM($AA$36,$AA$42,$AA$48,$AA$54,$AA$60,$AA$66,$AA$72:$AA$79))*Parameters!$B$37/12</f>
        <v>39430.53219995982</v>
      </c>
      <c r="X81" s="46">
        <f>(SUM($AA$18:$AA$29)-SUM($AA$36,$AA$42,$AA$48,$AA$54,$AA$60,$AA$66,$AA$72:$AA$79))*Parameters!$B$37/12</f>
        <v>39430.53219995982</v>
      </c>
      <c r="Y81" s="46">
        <f>(SUM($AA$18:$AA$29)-SUM($AA$36,$AA$42,$AA$48,$AA$54,$AA$60,$AA$66,$AA$72:$AA$79))*Parameters!$B$37/12</f>
        <v>39430.53219995982</v>
      </c>
      <c r="Z81" s="46">
        <f>SUMIF($B$13:$Y$13,"Yes",B81:Y81)</f>
        <v>512596.9185994779</v>
      </c>
      <c r="AA81" s="46">
        <f>SUM(B81:M81)</f>
        <v>473166.386399518</v>
      </c>
      <c r="AB81" s="46">
        <f>SUM(B81:Y81)</f>
        <v>946332.7727990362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50630.53219995982</v>
      </c>
      <c r="C88" s="19">
        <f>SUM(C72:C82,C66,C60,C54,C48,C42,C36)</f>
        <v>50630.53219995982</v>
      </c>
      <c r="D88" s="19">
        <f>SUM(D72:D82,D66,D60,D54,D48,D42,D36)</f>
        <v>49286.53219995982</v>
      </c>
      <c r="E88" s="19">
        <f>SUM(E72:E82,E66,E60,E54,E48,E42,E36)</f>
        <v>126380.5321999598</v>
      </c>
      <c r="F88" s="19">
        <f>SUM(F72:F82,F66,F60,F54,F48,F42,F36)</f>
        <v>57180.53219995982</v>
      </c>
      <c r="G88" s="19">
        <f>SUM(G72:G82,G66,G60,G54,G48,G42,G36)</f>
        <v>69280.53219995982</v>
      </c>
      <c r="H88" s="19">
        <f>SUM(H72:H82,H66,H60,H54,H48,H42,H36)</f>
        <v>50630.53219995982</v>
      </c>
      <c r="I88" s="19">
        <f>SUM(I72:I82,I66,I60,I54,I48,I42,I36)</f>
        <v>50630.53219995982</v>
      </c>
      <c r="J88" s="19">
        <f>SUM(J72:J82,J66,J60,J54,J48,J42,J36)</f>
        <v>49286.53219995982</v>
      </c>
      <c r="K88" s="19">
        <f>SUM(K72:K82,K66,K60,K54,K48,K42,K36)</f>
        <v>126380.5321999598</v>
      </c>
      <c r="L88" s="19">
        <f>SUM(L72:L82,L66,L60,L54,L48,L42,L36)</f>
        <v>57180.53219995982</v>
      </c>
      <c r="M88" s="19">
        <f>SUM(M72:M82,M66,M60,M54,M48,M42,M36)</f>
        <v>69280.53219995982</v>
      </c>
      <c r="N88" s="19">
        <f>SUM(N72:N82,N66,N60,N54,N48,N42,N36)</f>
        <v>50630.53219995982</v>
      </c>
      <c r="O88" s="19">
        <f>SUM(O72:O82,O66,O60,O54,O48,O42,O36)</f>
        <v>50630.53219995982</v>
      </c>
      <c r="P88" s="19">
        <f>SUM(P72:P82,P66,P60,P54,P48,P42,P36)</f>
        <v>49286.53219995982</v>
      </c>
      <c r="Q88" s="19">
        <f>SUM(Q72:Q82,Q66,Q60,Q54,Q48,Q42,Q36)</f>
        <v>126380.5321999598</v>
      </c>
      <c r="R88" s="19">
        <f>SUM(R72:R82,R66,R60,R54,R48,R42,R36)</f>
        <v>57180.53219995982</v>
      </c>
      <c r="S88" s="19">
        <f>SUM(S72:S82,S66,S60,S54,S48,S42,S36)</f>
        <v>69280.53219995982</v>
      </c>
      <c r="T88" s="19">
        <f>SUM(T72:T82,T66,T60,T54,T48,T42,T36)</f>
        <v>50630.53219995982</v>
      </c>
      <c r="U88" s="19">
        <f>SUM(U72:U82,U66,U60,U54,U48,U42,U36)</f>
        <v>50630.53219995982</v>
      </c>
      <c r="V88" s="19">
        <f>SUM(V72:V82,V66,V60,V54,V48,V42,V36)</f>
        <v>49286.53219995982</v>
      </c>
      <c r="W88" s="19">
        <f>SUM(W72:W82,W66,W60,W54,W48,W42,W36)</f>
        <v>126380.5321999598</v>
      </c>
      <c r="X88" s="19">
        <f>SUM(X72:X82,X66,X60,X54,X48,X42,X36)</f>
        <v>57180.53219995982</v>
      </c>
      <c r="Y88" s="19">
        <f>SUM(Y72:Y82,Y66,Y60,Y54,Y48,Y42,Y36)</f>
        <v>69280.53219995982</v>
      </c>
      <c r="Z88" s="19">
        <f>SUMIF($B$13:$Y$13,"Yes",B88:Y88)</f>
        <v>857408.918599478</v>
      </c>
      <c r="AA88" s="19">
        <f>SUM(B88:M88)</f>
        <v>806778.3863995181</v>
      </c>
      <c r="AB88" s="19">
        <f>SUM(B88:Y88)</f>
        <v>1613556.772799035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15000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4980000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101200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30000</v>
      </c>
    </row>
    <row r="31" spans="1:48">
      <c r="A31" s="5" t="s">
        <v>117</v>
      </c>
      <c r="B31" s="158">
        <v>1500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120000</v>
      </c>
    </row>
    <row r="46" spans="1:48" customHeight="1" ht="30">
      <c r="A46" s="57" t="s">
        <v>131</v>
      </c>
      <c r="B46" s="161">
        <v>80000</v>
      </c>
    </row>
    <row r="47" spans="1:48" customHeight="1" ht="30">
      <c r="A47" s="57" t="s">
        <v>132</v>
      </c>
      <c r="B47" s="161">
        <v>15000</v>
      </c>
    </row>
    <row r="48" spans="1:48" customHeight="1" ht="30">
      <c r="A48" s="57" t="s">
        <v>133</v>
      </c>
      <c r="B48" s="161">
        <v>3000000</v>
      </c>
    </row>
    <row r="49" spans="1:48" customHeight="1" ht="30">
      <c r="A49" s="57" t="s">
        <v>134</v>
      </c>
      <c r="B49" s="161">
        <v>15000</v>
      </c>
    </row>
    <row r="50" spans="1:48">
      <c r="A50" s="43"/>
      <c r="B50" s="36"/>
    </row>
    <row r="51" spans="1:48">
      <c r="A51" s="58" t="s">
        <v>135</v>
      </c>
      <c r="B51" s="161">
        <v>1200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109895</v>
      </c>
      <c r="C66" s="163">
        <v>93655</v>
      </c>
      <c r="D66" s="49">
        <f>INDEX(Parameters!$D$79:$D$90,MATCH(Inputs!A66,Parameters!$C$79:$C$90,0))</f>
        <v>3</v>
      </c>
    </row>
    <row r="67" spans="1:48">
      <c r="A67" s="143" t="s">
        <v>147</v>
      </c>
      <c r="B67" s="157">
        <v>83543</v>
      </c>
      <c r="C67" s="165">
        <v>73289</v>
      </c>
      <c r="D67" s="49">
        <f>INDEX(Parameters!$D$79:$D$90,MATCH(Inputs!A67,Parameters!$C$79:$C$90,0))</f>
        <v>2</v>
      </c>
    </row>
    <row r="68" spans="1:48">
      <c r="A68" s="143" t="s">
        <v>148</v>
      </c>
      <c r="B68" s="157">
        <v>95204</v>
      </c>
      <c r="C68" s="165">
        <v>82634</v>
      </c>
      <c r="D68" s="49">
        <f>INDEX(Parameters!$D$79:$D$90,MATCH(Inputs!A68,Parameters!$C$79:$C$90,0))</f>
        <v>1</v>
      </c>
    </row>
    <row r="69" spans="1:48">
      <c r="A69" s="143" t="s">
        <v>149</v>
      </c>
      <c r="B69" s="157">
        <v>106451</v>
      </c>
      <c r="C69" s="165">
        <v>91668</v>
      </c>
      <c r="D69" s="49">
        <f>INDEX(Parameters!$D$79:$D$90,MATCH(Inputs!A69,Parameters!$C$79:$C$90,0))</f>
        <v>12</v>
      </c>
    </row>
    <row r="70" spans="1:48">
      <c r="A70" s="143" t="s">
        <v>150</v>
      </c>
      <c r="B70" s="157">
        <v>213043</v>
      </c>
      <c r="C70" s="165">
        <v>195193</v>
      </c>
      <c r="D70" s="49">
        <f>INDEX(Parameters!$D$79:$D$90,MATCH(Inputs!A70,Parameters!$C$79:$C$90,0))</f>
        <v>11</v>
      </c>
    </row>
    <row r="71" spans="1:48">
      <c r="A71" s="144" t="s">
        <v>151</v>
      </c>
      <c r="B71" s="158">
        <v>233441</v>
      </c>
      <c r="C71" s="167">
        <v>191371</v>
      </c>
      <c r="D71" s="49">
        <f>INDEX(Parameters!$D$79:$D$90,MATCH(Inputs!A71,Parameters!$C$79:$C$90,0))</f>
        <v>10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42887</v>
      </c>
      <c r="C4" s="38">
        <f>IFERROR(DATE(YEAR(B4),MONTH(B4)+ROUND(T4/2,0),DAY(B4)),B4)</f>
        <v>42948</v>
      </c>
      <c r="D4" s="38">
        <f>IFERROR(DATE(YEAR(B4),MONTH(B4)+T4,DAY(B4)),"")</f>
        <v>42979</v>
      </c>
      <c r="E4" s="38">
        <f>IFERROR(IF($S4=0,"",IF($S4=2,DATE(YEAR(B4),MONTH(B4)+6,DAY(B4)),IF($S4=1,B4,""))),"")</f>
        <v>43070</v>
      </c>
      <c r="F4" s="38">
        <f>IFERROR(IF($S4=0,"",IF($S4=2,DATE(YEAR(C4),MONTH(C4)+6,DAY(C4)),IF($S4=1,C4,""))),"")</f>
        <v>43132</v>
      </c>
      <c r="G4" s="38">
        <f>IFERROR(IF($S4=0,"",IF($S4=2,DATE(YEAR(D4),MONTH(D4)+6,DAY(D4)),IF($S4=1,D4,""))),"")</f>
        <v>43160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9022.633424063135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240002.0490800794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Potatoes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42917</v>
      </c>
      <c r="C5" s="39">
        <f>IFERROR(DATE(YEAR(B5),MONTH(B5)+ROUND(T5/2,0),DAY(B5)),B5)</f>
        <v>42979</v>
      </c>
      <c r="D5" s="39">
        <f>IFERROR(DATE(YEAR(B5),MONTH(B5)+T5,DAY(B5)),"")</f>
        <v>43040</v>
      </c>
      <c r="E5" s="39">
        <f>IFERROR(IF($S5=0,"",IF($S5=2,DATE(YEAR(B5),MONTH(B5)+6,DAY(B5)),IF($S5=1,B5,""))),"")</f>
        <v>43101</v>
      </c>
      <c r="F5" s="39">
        <f>IFERROR(IF($S5=0,"",IF($S5=2,DATE(YEAR(C5),MONTH(C5)+6,DAY(C5)),IF($S5=1,C5,""))),"")</f>
        <v>43160</v>
      </c>
      <c r="G5" s="39">
        <f>IFERROR(IF($S5=0,"",IF($S5=2,DATE(YEAR(D5),MONTH(D5)+6,DAY(D5)),IF($S5=1,D5,""))),"")</f>
        <v>43221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8558.01473327987</v>
      </c>
      <c r="M5" s="30">
        <f>L5*H5</f>
        <v>25674.04419983961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11.2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546343.6605725868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72000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12900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36000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Onions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42887</v>
      </c>
      <c r="C6" s="39">
        <f>IFERROR(DATE(YEAR(B6),MONTH(B6)+ROUND(T6/2,0),DAY(B6)),B6)</f>
        <v>42979</v>
      </c>
      <c r="D6" s="39">
        <f>IFERROR(DATE(YEAR(B6),MONTH(B6)+T6,DAY(B6)),"")</f>
        <v>43040</v>
      </c>
      <c r="E6" s="39">
        <f>IFERROR(IF($S6=0,"",IF($S6=2,DATE(YEAR(B6),MONTH(B6)+6,DAY(B6)),IF($S6=1,B6,""))),"")</f>
        <v>43070</v>
      </c>
      <c r="F6" s="39">
        <f>IFERROR(IF($S6=0,"",IF($S6=2,DATE(YEAR(C6),MONTH(C6)+6,DAY(C6)),IF($S6=1,C6,""))),"")</f>
        <v>43160</v>
      </c>
      <c r="G6" s="39">
        <f>IFERROR(IF($S6=0,"",IF($S6=2,DATE(YEAR(D6),MONTH(D6)+6,DAY(D6)),IF($S6=1,D6,""))),"")</f>
        <v>43221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3479.15654460647</v>
      </c>
      <c r="M6" s="30">
        <f>L6*H6</f>
        <v>3479.15654460647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56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370182.2563461284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1500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2000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15000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42865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42856</v>
      </c>
      <c r="F33" t="s">
        <v>157</v>
      </c>
      <c r="G33" s="128">
        <f>IF(Inputs!B79="","",DATE(YEAR(Inputs!B79),MONTH(Inputs!B79),DAY(Inputs!B79)))</f>
        <v>42835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42896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42887</v>
      </c>
      <c r="F34" t="s">
        <v>158</v>
      </c>
      <c r="G34" s="128">
        <f>IF(Inputs!B80="","",DATE(YEAR(Inputs!B80),MONTH(Inputs!B80),DAY(Inputs!B80)))</f>
        <v>42865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42926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42917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42957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42948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42988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42979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43018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43009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43049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43040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43079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43070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43110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43101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43141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43132</v>
      </c>
      <c r="F42" t="s">
        <v>225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43169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43200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198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226</v>
      </c>
      <c r="E53" s="10" t="s">
        <v>185</v>
      </c>
      <c r="F53" s="10" t="s">
        <v>245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163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222</v>
      </c>
      <c r="J76" s="11" t="s">
        <v>344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93</v>
      </c>
      <c r="F77" s="12" t="s">
        <v>93</v>
      </c>
      <c r="G77" s="12" t="s">
        <v>346</v>
      </c>
      <c r="H77" s="12" t="s">
        <v>128</v>
      </c>
      <c r="I77" s="12" t="s">
        <v>347</v>
      </c>
      <c r="J77" s="136" t="s">
        <v>348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311</v>
      </c>
      <c r="I78" s="12" t="s">
        <v>353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163</v>
      </c>
      <c r="J79" s="70" t="s">
        <v>358</v>
      </c>
      <c r="K79" s="12" t="s">
        <v>93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359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96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