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<sst xmlns="http://schemas.openxmlformats.org/spreadsheetml/2006/main" uniqueCount="369">
  <si>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</si>
  <si>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</si>
  <si>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</si>
  <si>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</si>
  <si>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</si>
  <si>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</si>
  <si>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</si>
  <si>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</si>
  <si>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</si>
  <si>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</si>
  <si>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</si>
  <si>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</si>
  <si>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</si>
  <si>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</si>
  <si>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</si>
  <si>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</si>
  <si>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</si>
  <si>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</si>
  <si>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</si>
  <si>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</si>
  <si>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</si>
  <si>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</si>
  <si>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</si>
  <si>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</si>
  <si>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</si>
  <si>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</si>
  <si>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</si>
  <si>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</si>
  <si>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</si>
  <si>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</si>
  <si>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</si>
  <si>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</si>
  <si>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</si>
  <si>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</si>
  <si>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</si>
  <si>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</si>
  <si>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</si>
  <si>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</si>
  <si>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</si>
  <si>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</si>
  <si>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</si>
  <si>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</si>
  <si>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</si>
  <si>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</si>
  <si>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</si>
  <si>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</si>
  <si>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</si>
  <si>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</si>
  <si>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</si>
  <si>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</si>
  <si>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</si>
  <si>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</si>
  <si>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</si>
  <si>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</si>
  <si>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</si>
  <si>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</si>
  <si>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</si>
  <si>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</si>
  <si>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</si>
  <si>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</si>
  <si>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</si>
  <si>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</si>
  <si>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</si>
  <si>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</si>
  <si>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</si>
  <si>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</si>
  <si>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</si>
  <si>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</si>
  <si>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</si>
  <si>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</si>
  <si>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</si>
  <si>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</si>
  <si>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</si>
  <si>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</si>
  <si>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</si>
  <si>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</si>
  <si>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</si>
  <si>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</si>
  <si>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</si>
  <si>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</si>
  <si>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</si>
  <si>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</si>
  <si>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</si>
  <si>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</si>
  <si>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</si>
  <si>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</si>
  <si>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</si>
  <si>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</si>
  <si>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</si>
  <si>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Carrots</t>
  </si>
  <si>
    <t>Shop_certified variety</t>
  </si>
  <si>
    <t>Yes both manure and inorganic</t>
  </si>
  <si>
    <t>Yes</t>
  </si>
  <si>
    <t>No</t>
  </si>
  <si>
    <t>July</t>
  </si>
  <si>
    <t>Potatoes</t>
  </si>
  <si>
    <t>June</t>
  </si>
  <si>
    <t>Other crops</t>
  </si>
  <si>
    <t>Yes Inorganic fertizers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</si>
  <si>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</si>
  <si>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</si>
  <si>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</si>
  <si>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</si>
  <si>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</si>
  <si>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</si>
  <si>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</si>
  <si>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</si>
  <si>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</si>
  <si>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</si>
  <si>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</si>
  <si>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</si>
  <si>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</si>
  <si>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</si>
  <si>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</si>
  <si>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</si>
  <si>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</si>
  <si>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</si>
  <si>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</si>
  <si>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</si>
  <si>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Brokery business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</si>
  <si>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</si>
  <si>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</si>
  <si>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</si>
  <si>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</si>
  <si>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</si>
  <si>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</si>
  <si>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</si>
  <si>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</si>
  <si>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</si>
  <si>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</si>
  <si>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</si>
  <si>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</si>
  <si>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</si>
  <si>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</si>
  <si>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</si>
  <si>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</si>
  <si>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</si>
  <si>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</si>
  <si>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</si>
  <si>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</si>
  <si>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</si>
  <si>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</si>
  <si>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</si>
  <si>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</si>
  <si>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</si>
  <si>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</si>
  <si>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</si>
  <si>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3/31/2013</t>
  </si>
  <si>
    <t xml:space="preserve">Mshwari </t>
  </si>
  <si>
    <t xml:space="preserve">The borrowers ID was used by his brother to borrow without clients awareness </t>
  </si>
  <si>
    <t>Mpesa &amp; bank cash flows (from past statements)</t>
  </si>
  <si>
    <t>Cash inflows</t>
  </si>
  <si>
    <t>Cash outflows</t>
  </si>
  <si>
    <t>March</t>
  </si>
  <si>
    <t>February</t>
  </si>
  <si>
    <t>January</t>
  </si>
  <si>
    <t>December</t>
  </si>
  <si>
    <t>November</t>
  </si>
  <si>
    <t>October</t>
  </si>
  <si>
    <t>Loan info</t>
  </si>
  <si>
    <t>Branch ID</t>
  </si>
  <si>
    <t>Submission date</t>
  </si>
  <si>
    <t>2017/4/12</t>
  </si>
  <si>
    <t>Loan terms</t>
  </si>
  <si>
    <t>Expected disbursement date</t>
  </si>
  <si>
    <t>Expected first repayment date</t>
  </si>
  <si>
    <t>2017/5/12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</si>
  <si>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</si>
  <si>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</si>
  <si>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</si>
  <si>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</si>
  <si>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</si>
  <si>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</si>
  <si>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</si>
  <si>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</si>
  <si>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</si>
  <si>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</si>
  <si>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</si>
  <si>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</si>
  <si>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</si>
  <si>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</si>
  <si>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</si>
  <si>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</si>
  <si>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</si>
  <si>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</si>
  <si>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</si>
  <si>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</si>
  <si>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</si>
  <si>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</si>
  <si>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</si>
  <si>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</si>
  <si>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</si>
  <si>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</si>
  <si>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</si>
  <si>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</si>
  <si>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</si>
  <si>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</si>
  <si>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</si>
  <si>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</si>
  <si>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</si>
  <si>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</si>
  <si>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</si>
  <si>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</si>
  <si>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</si>
  <si>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</si>
  <si>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</si>
  <si>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</si>
  <si>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</si>
  <si>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</si>
  <si>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</si>
  <si>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</si>
  <si>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</si>
  <si>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</si>
  <si>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</si>
  <si>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</si>
  <si>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</si>
  <si>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</si>
  <si>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</si>
  <si>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</si>
  <si>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</si>
  <si>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</si>
  <si>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</si>
  <si>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</si>
  <si>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</si>
  <si>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</si>
  <si>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</si>
  <si>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</si>
  <si>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</si>
  <si>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</si>
  <si>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</si>
  <si>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</si>
  <si>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</si>
  <si>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</si>
  <si>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</si>
  <si>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</si>
  <si>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</si>
  <si>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</si>
  <si>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</si>
  <si>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</si>
  <si>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</si>
  <si>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</si>
  <si>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</si>
  <si>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</si>
  <si>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</si>
  <si>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</si>
  <si>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</si>
  <si>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</si>
  <si>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</si>
  <si>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</si>
  <si>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</si>
  <si>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</si>
  <si>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</si>
  <si>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</si>
  <si>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</si>
  <si>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</si>
  <si>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</si>
  <si>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</si>
  <si>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</si>
  <si>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</si>
  <si>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</si>
  <si>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</si>
  <si>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</si>
  <si>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</si>
  <si>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</si>
  <si>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</si>
  <si>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</si>
  <si>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</si>
  <si>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</si>
  <si>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</si>
  <si>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</si>
  <si>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</si>
  <si>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</si>
  <si>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</si>
  <si>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</si>
  <si>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</si>
  <si>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</si>
  <si>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</si>
  <si>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</si>
  <si>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</si>
  <si>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</si>
  <si>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</si>
  <si>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</si>
  <si>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</si>
  <si>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</si>
  <si>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</si>
  <si>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</si>
  <si>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</si>
  <si>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</si>
  <si>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</si>
  <si>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</si>
  <si>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</si>
  <si>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</si>
  <si>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</si>
  <si>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</si>
  <si>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</si>
  <si>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</si>
  <si>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</si>
  <si>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</si>
  <si>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</si>
  <si>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</si>
  <si>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</si>
  <si>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</si>
  <si>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</si>
  <si>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</si>
  <si>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</si>
  <si>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</si>
  <si>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</si>
  <si>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</si>
  <si>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</si>
  <si>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</si>
  <si>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</si>
  <si>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</si>
  <si>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</si>
  <si>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</si>
  <si>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</si>
  <si>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</si>
  <si>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</si>
  <si>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</si>
  <si>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</si>
  <si>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</si>
  <si>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</si>
  <si>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</si>
  <si>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</si>
  <si>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</si>
  <si>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</si>
  <si>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</si>
  <si>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</si>
  <si>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</si>
  <si>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</si>
  <si>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</si>
  <si>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</si>
  <si>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</si>
  <si>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</si>
  <si>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</si>
  <si>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</si>
  <si>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</si>
  <si>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</si>
  <si>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</si>
  <si>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</si>
  <si>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</si>
  <si>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</si>
  <si>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</si>
  <si>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</si>
  <si>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</si>
  <si>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</si>
  <si>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</si>
  <si>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</si>
  <si>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</si>
  <si>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</si>
  <si>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</si>
  <si>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</si>
  <si>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</si>
  <si>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</si>
  <si>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</si>
  <si>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</si>
  <si>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</si>
  <si>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</si>
  <si>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</si>
  <si>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</si>
  <si>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</si>
  <si>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</si>
  <si>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</si>
  <si>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</si>
  <si>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</si>
  <si>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</si>
  <si>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</si>
  <si>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April</t>
  </si>
  <si>
    <t>May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</si>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</sst>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Carrots, Potatoes,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</v>
      </c>
    </row>
    <row r="8" spans="1:7">
      <c r="B8" s="1" t="s">
        <v>4</v>
      </c>
      <c r="C8" t="str">
        <f>IF(Inputs!B29="","None",Inputs!B29)</f>
        <v>Brokery business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0.07075545124310667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0.006048145035418418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19666.66666666667</v>
      </c>
    </row>
    <row r="17" spans="1:7">
      <c r="B17" s="1" t="s">
        <v>11</v>
      </c>
      <c r="C17" s="36">
        <f>SUM(Output!B6:M6)</f>
        <v>2647930.357752251</v>
      </c>
    </row>
    <row r="18" spans="1:7">
      <c r="B18" s="1" t="s">
        <v>12</v>
      </c>
      <c r="C18" s="36">
        <f>MIN(Output!B6:M6)</f>
        <v>-303019.2420973473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1733680.452028177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</v>
      </c>
    </row>
    <row r="25" spans="1:7">
      <c r="B25" s="1" t="s">
        <v>18</v>
      </c>
      <c r="C25" s="36">
        <f>MAX(Inputs!A56:A60)</f>
        <v>2000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487501.6952373374</v>
      </c>
      <c r="C6" s="51">
        <f>C30-C88</f>
        <v>1733680.452028177</v>
      </c>
      <c r="D6" s="51">
        <f>D30-D88</f>
        <v>-303019.2420973473</v>
      </c>
      <c r="E6" s="51">
        <f>E30-E88</f>
        <v>-249099.2420973473</v>
      </c>
      <c r="F6" s="51">
        <f>F30-F88</f>
        <v>-179999.2420973473</v>
      </c>
      <c r="G6" s="51">
        <f>G30-G88</f>
        <v>-165099.2420973473</v>
      </c>
      <c r="H6" s="51">
        <f>H30-H88</f>
        <v>487501.6952373374</v>
      </c>
      <c r="I6" s="51">
        <f>I30-I88</f>
        <v>1733680.452028177</v>
      </c>
      <c r="J6" s="51">
        <f>J30-J88</f>
        <v>-303019.2420973473</v>
      </c>
      <c r="K6" s="51">
        <f>K30-K88</f>
        <v>-249099.2420973473</v>
      </c>
      <c r="L6" s="51">
        <f>L30-L88</f>
        <v>-179999.2420973473</v>
      </c>
      <c r="M6" s="51">
        <f>M30-M88</f>
        <v>-165099.2420973473</v>
      </c>
      <c r="N6" s="51">
        <f>N30-N88</f>
        <v>487501.6952373374</v>
      </c>
      <c r="O6" s="51">
        <f>O30-O88</f>
        <v>1733680.452028177</v>
      </c>
      <c r="P6" s="51">
        <f>P30-P88</f>
        <v>-303019.2420973473</v>
      </c>
      <c r="Q6" s="51">
        <f>Q30-Q88</f>
        <v>-249099.2420973473</v>
      </c>
      <c r="R6" s="51">
        <f>R30-R88</f>
        <v>-179999.2420973473</v>
      </c>
      <c r="S6" s="51">
        <f>S30-S88</f>
        <v>-165099.2420973473</v>
      </c>
      <c r="T6" s="51">
        <f>T30-T88</f>
        <v>487501.6952373374</v>
      </c>
      <c r="U6" s="51">
        <f>U30-U88</f>
        <v>1733680.452028177</v>
      </c>
      <c r="V6" s="51">
        <f>V30-V88</f>
        <v>-303019.2420973473</v>
      </c>
      <c r="W6" s="51">
        <f>W30-W88</f>
        <v>-249099.2420973473</v>
      </c>
      <c r="X6" s="51">
        <f>X30-X88</f>
        <v>-179999.2420973473</v>
      </c>
      <c r="Y6" s="51">
        <f>Y30-Y88</f>
        <v>-165099.2420973473</v>
      </c>
      <c r="Z6" s="51">
        <f>SUMIF($B$13:$Y$13,"Yes",B6:Y6)</f>
        <v>3135432.052989588</v>
      </c>
      <c r="AA6" s="51">
        <f>AA30-AA88</f>
        <v>2647930.357752251</v>
      </c>
      <c r="AB6" s="51">
        <f>AB30-AB88</f>
        <v>5295860.715504505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14782</v>
      </c>
      <c r="I7" s="80">
        <f>IF(ISERROR(VLOOKUP(MONTH(I5),Inputs!$D$66:$D$71,1,0)),"",INDEX(Inputs!$B$66:$B$71,MATCH(MONTH(Output!I5),Inputs!$D$66:$D$71,0))-INDEX(Inputs!$C$66:$C$71,MATCH(MONTH(Output!I5),Inputs!$D$66:$D$71,0)))</f>
        <v>19620</v>
      </c>
      <c r="J7" s="80">
        <f>IF(ISERROR(VLOOKUP(MONTH(J5),Inputs!$D$66:$D$71,1,0)),"",INDEX(Inputs!$B$66:$B$71,MATCH(MONTH(Output!J5),Inputs!$D$66:$D$71,0))-INDEX(Inputs!$C$66:$C$71,MATCH(MONTH(Output!J5),Inputs!$D$66:$D$71,0)))</f>
        <v>23520</v>
      </c>
      <c r="K7" s="80">
        <f>IF(ISERROR(VLOOKUP(MONTH(K5),Inputs!$D$66:$D$71,1,0)),"",INDEX(Inputs!$B$66:$B$71,MATCH(MONTH(Output!K5),Inputs!$D$66:$D$71,0))-INDEX(Inputs!$C$66:$C$71,MATCH(MONTH(Output!K5),Inputs!$D$66:$D$71,0)))</f>
        <v>18240</v>
      </c>
      <c r="L7" s="80">
        <f>IF(ISERROR(VLOOKUP(MONTH(L5),Inputs!$D$66:$D$71,1,0)),"",INDEX(Inputs!$B$66:$B$71,MATCH(MONTH(Output!L5),Inputs!$D$66:$D$71,0))-INDEX(Inputs!$C$66:$C$71,MATCH(MONTH(Output!L5),Inputs!$D$66:$D$71,0)))</f>
        <v>22478</v>
      </c>
      <c r="M7" s="80">
        <f>IF(ISERROR(VLOOKUP(MONTH(M5),Inputs!$D$66:$D$71,1,0)),"",INDEX(Inputs!$B$66:$B$71,MATCH(MONTH(Output!M5),Inputs!$D$66:$D$71,0))-INDEX(Inputs!$C$66:$C$71,MATCH(MONTH(Output!M5),Inputs!$D$66:$D$71,0)))</f>
        <v>17820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14782</v>
      </c>
      <c r="U7" s="80">
        <f>IF(ISERROR(VLOOKUP(MONTH(U5),Inputs!$D$66:$D$71,1,0)),"",INDEX(Inputs!$B$66:$B$71,MATCH(MONTH(Output!U5),Inputs!$D$66:$D$71,0))-INDEX(Inputs!$C$66:$C$71,MATCH(MONTH(Output!U5),Inputs!$D$66:$D$71,0)))</f>
        <v>19620</v>
      </c>
      <c r="V7" s="80">
        <f>IF(ISERROR(VLOOKUP(MONTH(V5),Inputs!$D$66:$D$71,1,0)),"",INDEX(Inputs!$B$66:$B$71,MATCH(MONTH(Output!V5),Inputs!$D$66:$D$71,0))-INDEX(Inputs!$C$66:$C$71,MATCH(MONTH(Output!V5),Inputs!$D$66:$D$71,0)))</f>
        <v>23520</v>
      </c>
      <c r="W7" s="80">
        <f>IF(ISERROR(VLOOKUP(MONTH(W5),Inputs!$D$66:$D$71,1,0)),"",INDEX(Inputs!$B$66:$B$71,MATCH(MONTH(Output!W5),Inputs!$D$66:$D$71,0))-INDEX(Inputs!$C$66:$C$71,MATCH(MONTH(Output!W5),Inputs!$D$66:$D$71,0)))</f>
        <v>18240</v>
      </c>
      <c r="X7" s="80">
        <f>IF(ISERROR(VLOOKUP(MONTH(X5),Inputs!$D$66:$D$71,1,0)),"",INDEX(Inputs!$B$66:$B$71,MATCH(MONTH(Output!X5),Inputs!$D$66:$D$71,0))-INDEX(Inputs!$C$66:$C$71,MATCH(MONTH(Output!X5),Inputs!$D$66:$D$71,0)))</f>
        <v>22478</v>
      </c>
      <c r="Y7" s="80">
        <f>IF(ISERROR(VLOOKUP(MONTH(Y5),Inputs!$D$66:$D$71,1,0)),"",INDEX(Inputs!$B$66:$B$71,MATCH(MONTH(Output!Y5),Inputs!$D$66:$D$71,0))-INDEX(Inputs!$C$66:$C$71,MATCH(MONTH(Output!Y5),Inputs!$D$66:$D$71,0)))</f>
        <v>17820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19666.66666666667</v>
      </c>
      <c r="D10" s="37">
        <f>SUMPRODUCT((Calculations!$D$33:$D$84=Output!D5)+0,Calculations!$C$33:$C$84)</f>
        <v>19666.66666666667</v>
      </c>
      <c r="E10" s="37">
        <f>SUMPRODUCT((Calculations!$D$33:$D$84=Output!E5)+0,Calculations!$C$33:$C$84)</f>
        <v>19666.66666666667</v>
      </c>
      <c r="F10" s="37">
        <f>SUMPRODUCT((Calculations!$D$33:$D$84=Output!F5)+0,Calculations!$C$33:$C$84)</f>
        <v>19666.66666666667</v>
      </c>
      <c r="G10" s="37">
        <f>SUMPRODUCT((Calculations!$D$33:$D$84=Output!G5)+0,Calculations!$C$33:$C$84)</f>
        <v>19666.66666666667</v>
      </c>
      <c r="H10" s="37">
        <f>SUMPRODUCT((Calculations!$D$33:$D$84=Output!H5)+0,Calculations!$C$33:$C$84)</f>
        <v>19666.66666666667</v>
      </c>
      <c r="I10" s="37">
        <f>SUMPRODUCT((Calculations!$D$33:$D$84=Output!I5)+0,Calculations!$C$33:$C$84)</f>
        <v>19666.66666666667</v>
      </c>
      <c r="J10" s="37">
        <f>SUMPRODUCT((Calculations!$D$33:$D$84=Output!J5)+0,Calculations!$C$33:$C$84)</f>
        <v>19666.66666666667</v>
      </c>
      <c r="K10" s="37">
        <f>SUMPRODUCT((Calculations!$D$33:$D$84=Output!K5)+0,Calculations!$C$33:$C$84)</f>
        <v>19666.66666666667</v>
      </c>
      <c r="L10" s="37">
        <f>SUMPRODUCT((Calculations!$D$33:$D$84=Output!L5)+0,Calculations!$C$33:$C$84)</f>
        <v>19666.66666666667</v>
      </c>
      <c r="M10" s="37">
        <f>SUMPRODUCT((Calculations!$D$33:$D$84=Output!M5)+0,Calculations!$C$33:$C$84)</f>
        <v>19666.66666666667</v>
      </c>
      <c r="N10" s="37">
        <f>SUMPRODUCT((Calculations!$D$33:$D$84=Output!N5)+0,Calculations!$C$33:$C$84)</f>
        <v>19666.66666666667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236000</v>
      </c>
      <c r="AA10" s="37">
        <f>SUM(B10:M10)</f>
        <v>216333.3333333333</v>
      </c>
      <c r="AB10" s="37">
        <f>SUM(B10:Y10)</f>
        <v>236000</v>
      </c>
    </row>
    <row r="11" spans="1:30" customHeight="1" ht="15.75">
      <c r="A11" s="43" t="s">
        <v>31</v>
      </c>
      <c r="B11" s="80">
        <f>B6+B9-B10</f>
        <v>687501.6952373374</v>
      </c>
      <c r="C11" s="80">
        <f>C6+C9-C10</f>
        <v>1714013.78536151</v>
      </c>
      <c r="D11" s="80">
        <f>D6+D9-D10</f>
        <v>-322685.908764014</v>
      </c>
      <c r="E11" s="80">
        <f>E6+E9-E10</f>
        <v>-268765.908764014</v>
      </c>
      <c r="F11" s="80">
        <f>F6+F9-F10</f>
        <v>-199665.908764014</v>
      </c>
      <c r="G11" s="80">
        <f>G6+G9-G10</f>
        <v>-184765.908764014</v>
      </c>
      <c r="H11" s="80">
        <f>H6+H9-H10</f>
        <v>467835.0285706707</v>
      </c>
      <c r="I11" s="80">
        <f>I6+I9-I10</f>
        <v>1714013.78536151</v>
      </c>
      <c r="J11" s="80">
        <f>J6+J9-J10</f>
        <v>-322685.908764014</v>
      </c>
      <c r="K11" s="80">
        <f>K6+K9-K10</f>
        <v>-268765.908764014</v>
      </c>
      <c r="L11" s="80">
        <f>L6+L9-L10</f>
        <v>-199665.908764014</v>
      </c>
      <c r="M11" s="80">
        <f>M6+M9-M10</f>
        <v>-184765.908764014</v>
      </c>
      <c r="N11" s="80">
        <f>N6+N9-N10</f>
        <v>467835.0285706707</v>
      </c>
      <c r="O11" s="80">
        <f>O6+O9-O10</f>
        <v>1733680.452028177</v>
      </c>
      <c r="P11" s="80">
        <f>P6+P9-P10</f>
        <v>-303019.2420973473</v>
      </c>
      <c r="Q11" s="80">
        <f>Q6+Q9-Q10</f>
        <v>-249099.2420973473</v>
      </c>
      <c r="R11" s="80">
        <f>R6+R9-R10</f>
        <v>-179999.2420973473</v>
      </c>
      <c r="S11" s="80">
        <f>S6+S9-S10</f>
        <v>-165099.2420973473</v>
      </c>
      <c r="T11" s="80">
        <f>T6+T9-T10</f>
        <v>487501.6952373374</v>
      </c>
      <c r="U11" s="80">
        <f>U6+U9-U10</f>
        <v>1733680.452028177</v>
      </c>
      <c r="V11" s="80">
        <f>V6+V9-V10</f>
        <v>-303019.2420973473</v>
      </c>
      <c r="W11" s="80">
        <f>W6+W9-W10</f>
        <v>-249099.2420973473</v>
      </c>
      <c r="X11" s="80">
        <f>X6+X9-X10</f>
        <v>-179999.2420973473</v>
      </c>
      <c r="Y11" s="80">
        <f>Y6+Y9-Y10</f>
        <v>-165099.2420973473</v>
      </c>
      <c r="Z11" s="85">
        <f>SUMIF($B$13:$Y$13,"Yes",B11:Y11)</f>
        <v>3099432.052989587</v>
      </c>
      <c r="AA11" s="80">
        <f>SUM(B11:M11)</f>
        <v>2631597.024418917</v>
      </c>
      <c r="AB11" s="46">
        <f>SUM(B11:Y11)</f>
        <v>5259860.715504503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0.008122753874126415</v>
      </c>
      <c r="D12" s="82">
        <f>IF(D13="Yes",IF(SUM($B$10:D10)/(SUM($B$6:D6)+SUM($B$9:D9))&lt;0,999.99,SUM($B$10:D10)/(SUM($B$6:D6)+SUM($B$9:D9))),"")</f>
        <v>0.01856955064096477</v>
      </c>
      <c r="E12" s="82">
        <f>IF(E13="Yes",IF(SUM($B$10:E10)/(SUM($B$6:E6)+SUM($B$9:E9))&lt;0,999.99,SUM($B$10:E10)/(SUM($B$6:E6)+SUM($B$9:E9))),"")</f>
        <v>0.03156660801112822</v>
      </c>
      <c r="F12" s="82">
        <f>IF(F13="Yes",IF(SUM($B$10:F10)/(SUM($B$6:F6)+SUM($B$9:F9))&lt;0,999.99,SUM($B$10:F10)/(SUM($B$6:F6)+SUM($B$9:F9))),"")</f>
        <v>0.04657410675984049</v>
      </c>
      <c r="G12" s="82">
        <f>IF(G13="Yes",IF(SUM($B$10:G10)/(SUM($B$6:G6)+SUM($B$9:G9))&lt;0,999.99,SUM($B$10:G10)/(SUM($B$6:G6)+SUM($B$9:G9))),"")</f>
        <v>0.0645246588940116</v>
      </c>
      <c r="H12" s="82">
        <f>IF(H13="Yes",IF(SUM($B$10:H10)/(SUM($B$6:H6)+SUM($B$9:H9))&lt;0,999.99,SUM($B$10:H10)/(SUM($B$6:H6)+SUM($B$9:H9))),"")</f>
        <v>0.05866365562296796</v>
      </c>
      <c r="I12" s="82">
        <f>IF(I13="Yes",IF(SUM($B$10:I10)/(SUM($B$6:I6)+SUM($B$9:I9))&lt;0,999.99,SUM($B$10:I10)/(SUM($B$6:I6)+SUM($B$9:I9))),"")</f>
        <v>0.0367586785453631</v>
      </c>
      <c r="J12" s="82">
        <f>IF(J13="Yes",IF(SUM($B$10:J10)/(SUM($B$6:J6)+SUM($B$9:J9))&lt;0,999.99,SUM($B$10:J10)/(SUM($B$6:J6)+SUM($B$9:J9))),"")</f>
        <v>0.04570815771285192</v>
      </c>
      <c r="K12" s="82">
        <f>IF(K13="Yes",IF(SUM($B$10:K10)/(SUM($B$6:K6)+SUM($B$9:K9))&lt;0,999.99,SUM($B$10:K10)/(SUM($B$6:K6)+SUM($B$9:K9))),"")</f>
        <v>0.05543326063164355</v>
      </c>
      <c r="L12" s="82">
        <f>IF(L13="Yes",IF(SUM($B$10:L10)/(SUM($B$6:L6)+SUM($B$9:L9))&lt;0,999.99,SUM($B$10:L10)/(SUM($B$6:L6)+SUM($B$9:L9))),"")</f>
        <v>0.06527206592211497</v>
      </c>
      <c r="M12" s="82">
        <f>IF(M13="Yes",IF(SUM($B$10:M10)/(SUM($B$6:M6)+SUM($B$9:M9))&lt;0,999.99,SUM($B$10:M10)/(SUM($B$6:M6)+SUM($B$9:M9))),"")</f>
        <v>0.0759615953193729</v>
      </c>
      <c r="N12" s="82">
        <f>IF(N13="Yes",IF(SUM($B$10:N10)/(SUM($B$6:N6)+SUM($B$9:N9))&lt;0,999.99,SUM($B$10:N10)/(SUM($B$6:N6)+SUM($B$9:N9))),"")</f>
        <v>0.07075545124310667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Carrots</v>
      </c>
      <c r="B18" s="36">
        <f>N18</f>
        <v>0</v>
      </c>
      <c r="C18" s="36">
        <f>O18</f>
        <v>1868417.694125524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1868417.694125524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1868417.694125524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1868417.694125524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3736835.388251049</v>
      </c>
      <c r="AA18" s="36">
        <f>SUM(B18:M18)</f>
        <v>3736835.388251049</v>
      </c>
      <c r="AB18" s="36">
        <f>SUM(B18:Y18)</f>
        <v>7473670.776502098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>
        <f>N19</f>
        <v>637400.9373346847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637400.9373346847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637400.9373346847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637400.9373346847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1912202.812004054</v>
      </c>
      <c r="AA19" s="36">
        <f>SUM(B19:M19)</f>
        <v>1274801.874669369</v>
      </c>
      <c r="AB19" s="36">
        <f>SUM(B19:Y19)</f>
        <v>2549603.749338739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18750</v>
      </c>
      <c r="C24" s="36">
        <f>IFERROR(Calculations!$P14/12,"")</f>
        <v>18750</v>
      </c>
      <c r="D24" s="36">
        <f>IFERROR(Calculations!$P14/12,"")</f>
        <v>18750</v>
      </c>
      <c r="E24" s="36">
        <f>IFERROR(Calculations!$P14/12,"")</f>
        <v>18750</v>
      </c>
      <c r="F24" s="36">
        <f>IFERROR(Calculations!$P14/12,"")</f>
        <v>18750</v>
      </c>
      <c r="G24" s="36">
        <f>IFERROR(Calculations!$P14/12,"")</f>
        <v>18750</v>
      </c>
      <c r="H24" s="36">
        <f>IFERROR(Calculations!$P14/12,"")</f>
        <v>18750</v>
      </c>
      <c r="I24" s="36">
        <f>IFERROR(Calculations!$P14/12,"")</f>
        <v>18750</v>
      </c>
      <c r="J24" s="36">
        <f>IFERROR(Calculations!$P14/12,"")</f>
        <v>18750</v>
      </c>
      <c r="K24" s="36">
        <f>IFERROR(Calculations!$P14/12,"")</f>
        <v>18750</v>
      </c>
      <c r="L24" s="36">
        <f>IFERROR(Calculations!$P14/12,"")</f>
        <v>18750</v>
      </c>
      <c r="M24" s="36">
        <f>IFERROR(Calculations!$P14/12,"")</f>
        <v>18750</v>
      </c>
      <c r="N24" s="36">
        <f>IFERROR(Calculations!$P14/12,"")</f>
        <v>18750</v>
      </c>
      <c r="O24" s="36">
        <f>IFERROR(Calculations!$P14/12,"")</f>
        <v>18750</v>
      </c>
      <c r="P24" s="36">
        <f>IFERROR(Calculations!$P14/12,"")</f>
        <v>18750</v>
      </c>
      <c r="Q24" s="36">
        <f>IFERROR(Calculations!$P14/12,"")</f>
        <v>18750</v>
      </c>
      <c r="R24" s="36">
        <f>IFERROR(Calculations!$P14/12,"")</f>
        <v>18750</v>
      </c>
      <c r="S24" s="36">
        <f>IFERROR(Calculations!$P14/12,"")</f>
        <v>18750</v>
      </c>
      <c r="T24" s="36">
        <f>IFERROR(Calculations!$P14/12,"")</f>
        <v>18750</v>
      </c>
      <c r="U24" s="36">
        <f>IFERROR(Calculations!$P14/12,"")</f>
        <v>18750</v>
      </c>
      <c r="V24" s="36">
        <f>IFERROR(Calculations!$P14/12,"")</f>
        <v>18750</v>
      </c>
      <c r="W24" s="36">
        <f>IFERROR(Calculations!$P14/12,"")</f>
        <v>18750</v>
      </c>
      <c r="X24" s="36">
        <f>IFERROR(Calculations!$P14/12,"")</f>
        <v>18750</v>
      </c>
      <c r="Y24" s="36">
        <f>IFERROR(Calculations!$P14/12,"")</f>
        <v>18750</v>
      </c>
      <c r="Z24" s="36">
        <f>SUMIF($B$13:$Y$13,"Yes",B24:Y24)</f>
        <v>243750</v>
      </c>
      <c r="AA24" s="36">
        <f>SUM(B24:M24)</f>
        <v>225000</v>
      </c>
      <c r="AB24" s="46">
        <f>SUM(B24:Y24)</f>
        <v>450000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390000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686150.9373346847</v>
      </c>
      <c r="C30" s="19">
        <f>SUM(C18:C29)</f>
        <v>1917167.694125524</v>
      </c>
      <c r="D30" s="19">
        <f>SUM(D18:D29)</f>
        <v>48750</v>
      </c>
      <c r="E30" s="19">
        <f>SUM(E18:E29)</f>
        <v>48750</v>
      </c>
      <c r="F30" s="19">
        <f>SUM(F18:F29)</f>
        <v>48750</v>
      </c>
      <c r="G30" s="19">
        <f>SUM(G18:G29)</f>
        <v>48750</v>
      </c>
      <c r="H30" s="19">
        <f>SUM(H18:H29)</f>
        <v>686150.9373346847</v>
      </c>
      <c r="I30" s="19">
        <f>SUM(I18:I29)</f>
        <v>1917167.694125524</v>
      </c>
      <c r="J30" s="19">
        <f>SUM(J18:J29)</f>
        <v>48750</v>
      </c>
      <c r="K30" s="19">
        <f>SUM(K18:K29)</f>
        <v>48750</v>
      </c>
      <c r="L30" s="19">
        <f>SUM(L18:L29)</f>
        <v>48750</v>
      </c>
      <c r="M30" s="19">
        <f>SUM(M18:M29)</f>
        <v>48750</v>
      </c>
      <c r="N30" s="19">
        <f>SUM(N18:N29)</f>
        <v>686150.9373346847</v>
      </c>
      <c r="O30" s="19">
        <f>SUM(O18:O29)</f>
        <v>1917167.694125524</v>
      </c>
      <c r="P30" s="19">
        <f>SUM(P18:P29)</f>
        <v>48750</v>
      </c>
      <c r="Q30" s="19">
        <f>SUM(Q18:Q29)</f>
        <v>48750</v>
      </c>
      <c r="R30" s="19">
        <f>SUM(R18:R29)</f>
        <v>48750</v>
      </c>
      <c r="S30" s="19">
        <f>SUM(S18:S29)</f>
        <v>48750</v>
      </c>
      <c r="T30" s="19">
        <f>SUM(T18:T29)</f>
        <v>686150.9373346847</v>
      </c>
      <c r="U30" s="19">
        <f>SUM(U18:U29)</f>
        <v>1917167.694125524</v>
      </c>
      <c r="V30" s="19">
        <f>SUM(V18:V29)</f>
        <v>48750</v>
      </c>
      <c r="W30" s="19">
        <f>SUM(W18:W29)</f>
        <v>48750</v>
      </c>
      <c r="X30" s="19">
        <f>SUM(X18:X29)</f>
        <v>48750</v>
      </c>
      <c r="Y30" s="19">
        <f>SUM(Y18:Y29)</f>
        <v>48750</v>
      </c>
      <c r="Z30" s="19">
        <f>SUMIF($B$13:$Y$13,"Yes",B30:Y30)</f>
        <v>6282788.200255103</v>
      </c>
      <c r="AA30" s="19">
        <f>SUM(B30:M30)</f>
        <v>5596637.262920419</v>
      </c>
      <c r="AB30" s="19">
        <f>SUM(B30:Y30)</f>
        <v>11193274.52584084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14000</v>
      </c>
      <c r="E36" s="36">
        <f>Q36</f>
        <v>16000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14000</v>
      </c>
      <c r="K36" s="36">
        <f>W36</f>
        <v>16000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14000</v>
      </c>
      <c r="Q36" s="36">
        <f>SUM(Q37:Q41)</f>
        <v>16000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14000</v>
      </c>
      <c r="W36" s="36">
        <f>SUM(W37:W41)</f>
        <v>16000</v>
      </c>
      <c r="X36" s="36">
        <f>SUM(X37:X41)</f>
        <v>0</v>
      </c>
      <c r="Y36" s="36">
        <f>SUM(Y37:Y41)</f>
        <v>0</v>
      </c>
      <c r="Z36" s="36">
        <f>SUMIF($B$13:$Y$13,"Yes",B36:Y36)</f>
        <v>60000</v>
      </c>
      <c r="AA36" s="36">
        <f>SUM(B36:M36)</f>
        <v>60000</v>
      </c>
      <c r="AB36" s="36">
        <f>SUM(B36:Y36)</f>
        <v>120000</v>
      </c>
      <c r="AC36" s="73"/>
    </row>
    <row r="37" spans="1:30" hidden="true" outlineLevel="1">
      <c r="A37" s="181" t="str">
        <f>Calculations!$A$4</f>
        <v>Carrots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16000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16000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32000</v>
      </c>
      <c r="AA37" s="36">
        <f>SUM(B37:M37)</f>
        <v>32000</v>
      </c>
      <c r="AB37" s="36">
        <f>SUM(B37:Y37)</f>
        <v>64000</v>
      </c>
      <c r="AC37" s="73"/>
    </row>
    <row r="38" spans="1:30" hidden="true" outlineLevel="1">
      <c r="A38" s="181" t="str">
        <f>Calculations!$A$5</f>
        <v>Potatoes</v>
      </c>
      <c r="B38" s="36">
        <f>N38</f>
        <v>0</v>
      </c>
      <c r="C38" s="36">
        <f>O38</f>
        <v>0</v>
      </c>
      <c r="D38" s="36">
        <f>P38</f>
        <v>14000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14000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14000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14000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28000</v>
      </c>
      <c r="AA38" s="36">
        <f>SUM(B38:M38)</f>
        <v>28000</v>
      </c>
      <c r="AB38" s="36">
        <f>SUM(B38:Y38)</f>
        <v>56000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168000</v>
      </c>
      <c r="E42" s="36">
        <f>Q42</f>
        <v>83200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168000</v>
      </c>
      <c r="K42" s="36">
        <f>W42</f>
        <v>83200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168000</v>
      </c>
      <c r="Q42" s="36">
        <f>SUM(Q43:Q47)</f>
        <v>83200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168000</v>
      </c>
      <c r="W42" s="36">
        <f>SUM(W43:W47)</f>
        <v>83200</v>
      </c>
      <c r="X42" s="36">
        <f>SUM(X43:X47)</f>
        <v>0</v>
      </c>
      <c r="Y42" s="36">
        <f>SUM(Y43:Y47)</f>
        <v>0</v>
      </c>
      <c r="Z42" s="36">
        <f>SUMIF($B$13:$Y$13,"Yes",B42:Y42)</f>
        <v>502400</v>
      </c>
      <c r="AA42" s="36">
        <f>SUM(B42:M42)</f>
        <v>502400</v>
      </c>
      <c r="AB42" s="36">
        <f>SUM(B42:Y42)</f>
        <v>1004800</v>
      </c>
    </row>
    <row r="43" spans="1:30" hidden="true" outlineLevel="1">
      <c r="A43" s="181" t="str">
        <f>Calculations!$A$4</f>
        <v>Carrots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83200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83200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83200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83200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166400</v>
      </c>
      <c r="AA43" s="36">
        <f>SUM(B43:M43)</f>
        <v>166400</v>
      </c>
      <c r="AB43" s="36">
        <f>SUM(B43:Y43)</f>
        <v>332800</v>
      </c>
    </row>
    <row r="44" spans="1:30" hidden="true" outlineLevel="1">
      <c r="A44" s="181" t="str">
        <f>Calculations!$A$5</f>
        <v>Potatoes</v>
      </c>
      <c r="B44" s="36">
        <f>N44</f>
        <v>0</v>
      </c>
      <c r="C44" s="36">
        <f>O44</f>
        <v>0</v>
      </c>
      <c r="D44" s="36">
        <f>P44</f>
        <v>168000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168000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168000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168000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336000</v>
      </c>
      <c r="AA44" s="36">
        <f>SUM(B44:M44)</f>
        <v>336000</v>
      </c>
      <c r="AB44" s="36">
        <f>SUM(B44:Y44)</f>
        <v>672000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30100</v>
      </c>
      <c r="G48" s="36">
        <f>S48</f>
        <v>15200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30100</v>
      </c>
      <c r="M48" s="36">
        <f>Y48</f>
        <v>15200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30100</v>
      </c>
      <c r="S48" s="46">
        <f>SUM(S49:S53)</f>
        <v>15200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30100</v>
      </c>
      <c r="Y48" s="46">
        <f>SUM(Y49:Y53)</f>
        <v>15200</v>
      </c>
      <c r="Z48" s="46">
        <f>SUMIF($B$13:$Y$13,"Yes",B48:Y48)</f>
        <v>90600</v>
      </c>
      <c r="AA48" s="46">
        <f>SUM(B48:M48)</f>
        <v>90600</v>
      </c>
      <c r="AB48" s="46">
        <f>SUM(B48:Y48)</f>
        <v>181200</v>
      </c>
    </row>
    <row r="49" spans="1:30" hidden="true" outlineLevel="1">
      <c r="A49" s="181" t="str">
        <f>Calculations!$A$4</f>
        <v>Carrots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15200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15200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15200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15200</v>
      </c>
      <c r="Z49" s="46">
        <f>SUMIF($B$13:$Y$13,"Yes",B49:Y49)</f>
        <v>30400</v>
      </c>
      <c r="AA49" s="46">
        <f>SUM(B49:M49)</f>
        <v>30400</v>
      </c>
      <c r="AB49" s="46">
        <f>SUM(B49:Y49)</f>
        <v>60800</v>
      </c>
    </row>
    <row r="50" spans="1:30" hidden="true" outlineLevel="1">
      <c r="A50" s="181" t="str">
        <f>Calculations!$A$5</f>
        <v>Potatoes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30100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30100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30100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30100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60200</v>
      </c>
      <c r="AA50" s="46">
        <f>SUM(B50:M50)</f>
        <v>60200</v>
      </c>
      <c r="AB50" s="46">
        <f>SUM(B50:Y50)</f>
        <v>120400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Carrots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Carrots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Potatoes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44042</v>
      </c>
      <c r="C66" s="36">
        <f>O66</f>
        <v>28880</v>
      </c>
      <c r="D66" s="36">
        <f>P66</f>
        <v>15162</v>
      </c>
      <c r="E66" s="36">
        <f>Q66</f>
        <v>44042</v>
      </c>
      <c r="F66" s="36">
        <f>R66</f>
        <v>44042</v>
      </c>
      <c r="G66" s="36">
        <f>S66</f>
        <v>44042</v>
      </c>
      <c r="H66" s="36">
        <f>T66</f>
        <v>44042</v>
      </c>
      <c r="I66" s="36">
        <f>U66</f>
        <v>28880</v>
      </c>
      <c r="J66" s="36">
        <f>V66</f>
        <v>15162</v>
      </c>
      <c r="K66" s="36">
        <f>W66</f>
        <v>44042</v>
      </c>
      <c r="L66" s="36">
        <f>X66</f>
        <v>44042</v>
      </c>
      <c r="M66" s="36">
        <f>Y66</f>
        <v>44042</v>
      </c>
      <c r="N66" s="46">
        <f>SUM(N67:N71)</f>
        <v>44042</v>
      </c>
      <c r="O66" s="46">
        <f>SUM(O67:O71)</f>
        <v>28880</v>
      </c>
      <c r="P66" s="46">
        <f>SUM(P67:P71)</f>
        <v>15162</v>
      </c>
      <c r="Q66" s="46">
        <f>SUM(Q67:Q71)</f>
        <v>44042</v>
      </c>
      <c r="R66" s="46">
        <f>SUM(R67:R71)</f>
        <v>44042</v>
      </c>
      <c r="S66" s="46">
        <f>SUM(S67:S71)</f>
        <v>44042</v>
      </c>
      <c r="T66" s="46">
        <f>SUM(T67:T71)</f>
        <v>44042</v>
      </c>
      <c r="U66" s="46">
        <f>SUM(U67:U71)</f>
        <v>28880</v>
      </c>
      <c r="V66" s="46">
        <f>SUM(V67:V71)</f>
        <v>15162</v>
      </c>
      <c r="W66" s="46">
        <f>SUM(W67:W71)</f>
        <v>44042</v>
      </c>
      <c r="X66" s="46">
        <f>SUM(X67:X71)</f>
        <v>44042</v>
      </c>
      <c r="Y66" s="46">
        <f>SUM(Y67:Y71)</f>
        <v>44042</v>
      </c>
      <c r="Z66" s="46">
        <f>SUMIF($B$13:$Y$13,"Yes",B66:Y66)</f>
        <v>484462</v>
      </c>
      <c r="AA66" s="46">
        <f>SUM(B66:M66)</f>
        <v>440420</v>
      </c>
      <c r="AB66" s="46">
        <f>SUM(B66:Y66)</f>
        <v>880840</v>
      </c>
    </row>
    <row r="67" spans="1:30" hidden="true" outlineLevel="1">
      <c r="A67" s="181" t="str">
        <f>Calculations!$A$4</f>
        <v>Carrots</v>
      </c>
      <c r="B67" s="36">
        <f>N67</f>
        <v>28880</v>
      </c>
      <c r="C67" s="36">
        <f>O67</f>
        <v>28880</v>
      </c>
      <c r="D67" s="36">
        <f>P67</f>
        <v>0</v>
      </c>
      <c r="E67" s="36">
        <f>Q67</f>
        <v>28880</v>
      </c>
      <c r="F67" s="36">
        <f>R67</f>
        <v>28880</v>
      </c>
      <c r="G67" s="36">
        <f>S67</f>
        <v>28880</v>
      </c>
      <c r="H67" s="36">
        <f>T67</f>
        <v>28880</v>
      </c>
      <c r="I67" s="36">
        <f>U67</f>
        <v>28880</v>
      </c>
      <c r="J67" s="36">
        <f>V67</f>
        <v>0</v>
      </c>
      <c r="K67" s="36">
        <f>W67</f>
        <v>28880</v>
      </c>
      <c r="L67" s="36">
        <f>X67</f>
        <v>28880</v>
      </c>
      <c r="M67" s="36">
        <f>Y67</f>
        <v>28880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28880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28880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28880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28880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28880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28880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28880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28880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28880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28880</v>
      </c>
      <c r="Z67" s="46">
        <f>SUMIF($B$13:$Y$13,"Yes",B67:Y67)</f>
        <v>317680</v>
      </c>
      <c r="AA67" s="46">
        <f>SUM(B67:M67)</f>
        <v>288800</v>
      </c>
      <c r="AB67" s="46">
        <f>SUM(B67:Y67)</f>
        <v>577600</v>
      </c>
    </row>
    <row r="68" spans="1:30" hidden="true" outlineLevel="1">
      <c r="A68" s="181" t="str">
        <f>Calculations!$A$5</f>
        <v>Potatoes</v>
      </c>
      <c r="B68" s="36">
        <f>N68</f>
        <v>15162</v>
      </c>
      <c r="C68" s="36">
        <f>O68</f>
        <v>0</v>
      </c>
      <c r="D68" s="36">
        <f>P68</f>
        <v>15162</v>
      </c>
      <c r="E68" s="36">
        <f>Q68</f>
        <v>15162</v>
      </c>
      <c r="F68" s="36">
        <f>R68</f>
        <v>15162</v>
      </c>
      <c r="G68" s="36">
        <f>S68</f>
        <v>15162</v>
      </c>
      <c r="H68" s="36">
        <f>T68</f>
        <v>15162</v>
      </c>
      <c r="I68" s="36">
        <f>U68</f>
        <v>0</v>
      </c>
      <c r="J68" s="36">
        <f>V68</f>
        <v>15162</v>
      </c>
      <c r="K68" s="36">
        <f>W68</f>
        <v>15162</v>
      </c>
      <c r="L68" s="36">
        <f>X68</f>
        <v>15162</v>
      </c>
      <c r="M68" s="36">
        <f>Y68</f>
        <v>15162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15162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15162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15162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15162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15162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15162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15162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15162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15162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15162</v>
      </c>
      <c r="Z68" s="46">
        <f>SUMIF($B$13:$Y$13,"Yes",B68:Y68)</f>
        <v>166782</v>
      </c>
      <c r="AA68" s="46">
        <f>SUM(B68:M68)</f>
        <v>151620</v>
      </c>
      <c r="AB68" s="46">
        <f>SUM(B68:Y68)</f>
        <v>303240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1000</v>
      </c>
      <c r="C75" s="46">
        <f>SUM(Calculations!$R$14:$R$16)/12</f>
        <v>1000</v>
      </c>
      <c r="D75" s="46">
        <f>SUM(Calculations!$R$14:$R$16)/12</f>
        <v>1000</v>
      </c>
      <c r="E75" s="46">
        <f>SUM(Calculations!$R$14:$R$16)/12</f>
        <v>1000</v>
      </c>
      <c r="F75" s="46">
        <f>SUM(Calculations!$R$14:$R$16)/12</f>
        <v>1000</v>
      </c>
      <c r="G75" s="46">
        <f>SUM(Calculations!$R$14:$R$16)/12</f>
        <v>1000</v>
      </c>
      <c r="H75" s="46">
        <f>SUM(Calculations!$R$14:$R$16)/12</f>
        <v>1000</v>
      </c>
      <c r="I75" s="46">
        <f>SUM(Calculations!$R$14:$R$16)/12</f>
        <v>1000</v>
      </c>
      <c r="J75" s="46">
        <f>SUM(Calculations!$R$14:$R$16)/12</f>
        <v>1000</v>
      </c>
      <c r="K75" s="46">
        <f>SUM(Calculations!$R$14:$R$16)/12</f>
        <v>1000</v>
      </c>
      <c r="L75" s="46">
        <f>SUM(Calculations!$R$14:$R$16)/12</f>
        <v>1000</v>
      </c>
      <c r="M75" s="46">
        <f>SUM(Calculations!$R$14:$R$16)/12</f>
        <v>1000</v>
      </c>
      <c r="N75" s="46">
        <f>SUM(Calculations!$R$14:$R$16)/12</f>
        <v>1000</v>
      </c>
      <c r="O75" s="46">
        <f>SUM(Calculations!$R$14:$R$16)/12</f>
        <v>1000</v>
      </c>
      <c r="P75" s="46">
        <f>SUM(Calculations!$R$14:$R$16)/12</f>
        <v>1000</v>
      </c>
      <c r="Q75" s="46">
        <f>SUM(Calculations!$R$14:$R$16)/12</f>
        <v>1000</v>
      </c>
      <c r="R75" s="46">
        <f>SUM(Calculations!$R$14:$R$16)/12</f>
        <v>1000</v>
      </c>
      <c r="S75" s="46">
        <f>SUM(Calculations!$R$14:$R$16)/12</f>
        <v>1000</v>
      </c>
      <c r="T75" s="46">
        <f>SUM(Calculations!$R$14:$R$16)/12</f>
        <v>1000</v>
      </c>
      <c r="U75" s="46">
        <f>SUM(Calculations!$R$14:$R$16)/12</f>
        <v>1000</v>
      </c>
      <c r="V75" s="46">
        <f>SUM(Calculations!$R$14:$R$16)/12</f>
        <v>1000</v>
      </c>
      <c r="W75" s="46">
        <f>SUM(Calculations!$R$14:$R$16)/12</f>
        <v>1000</v>
      </c>
      <c r="X75" s="46">
        <f>SUM(Calculations!$R$14:$R$16)/12</f>
        <v>1000</v>
      </c>
      <c r="Y75" s="46">
        <f>SUM(Calculations!$R$14:$R$16)/12</f>
        <v>1000</v>
      </c>
      <c r="Z75" s="46">
        <f>SUMIF($B$13:$Y$13,"Yes",B75:Y75)</f>
        <v>13000</v>
      </c>
      <c r="AA75" s="46">
        <f>SUM(B75:M75)</f>
        <v>12000</v>
      </c>
      <c r="AB75" s="46">
        <f>SUM(B75:Y75)</f>
        <v>24000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147107.2420973473</v>
      </c>
      <c r="C81" s="46">
        <f>(SUM($AA$18:$AA$29)-SUM($AA$36,$AA$42,$AA$48,$AA$54,$AA$60,$AA$66,$AA$72:$AA$79))*Parameters!$B$37/12</f>
        <v>147107.2420973473</v>
      </c>
      <c r="D81" s="46">
        <f>(SUM($AA$18:$AA$29)-SUM($AA$36,$AA$42,$AA$48,$AA$54,$AA$60,$AA$66,$AA$72:$AA$79))*Parameters!$B$37/12</f>
        <v>147107.2420973473</v>
      </c>
      <c r="E81" s="46">
        <f>(SUM($AA$18:$AA$29)-SUM($AA$36,$AA$42,$AA$48,$AA$54,$AA$60,$AA$66,$AA$72:$AA$79))*Parameters!$B$37/12</f>
        <v>147107.2420973473</v>
      </c>
      <c r="F81" s="46">
        <f>(SUM($AA$18:$AA$29)-SUM($AA$36,$AA$42,$AA$48,$AA$54,$AA$60,$AA$66,$AA$72:$AA$79))*Parameters!$B$37/12</f>
        <v>147107.2420973473</v>
      </c>
      <c r="G81" s="46">
        <f>(SUM($AA$18:$AA$29)-SUM($AA$36,$AA$42,$AA$48,$AA$54,$AA$60,$AA$66,$AA$72:$AA$79))*Parameters!$B$37/12</f>
        <v>147107.2420973473</v>
      </c>
      <c r="H81" s="46">
        <f>(SUM($AA$18:$AA$29)-SUM($AA$36,$AA$42,$AA$48,$AA$54,$AA$60,$AA$66,$AA$72:$AA$79))*Parameters!$B$37/12</f>
        <v>147107.2420973473</v>
      </c>
      <c r="I81" s="46">
        <f>(SUM($AA$18:$AA$29)-SUM($AA$36,$AA$42,$AA$48,$AA$54,$AA$60,$AA$66,$AA$72:$AA$79))*Parameters!$B$37/12</f>
        <v>147107.2420973473</v>
      </c>
      <c r="J81" s="46">
        <f>(SUM($AA$18:$AA$29)-SUM($AA$36,$AA$42,$AA$48,$AA$54,$AA$60,$AA$66,$AA$72:$AA$79))*Parameters!$B$37/12</f>
        <v>147107.2420973473</v>
      </c>
      <c r="K81" s="46">
        <f>(SUM($AA$18:$AA$29)-SUM($AA$36,$AA$42,$AA$48,$AA$54,$AA$60,$AA$66,$AA$72:$AA$79))*Parameters!$B$37/12</f>
        <v>147107.2420973473</v>
      </c>
      <c r="L81" s="46">
        <f>(SUM($AA$18:$AA$29)-SUM($AA$36,$AA$42,$AA$48,$AA$54,$AA$60,$AA$66,$AA$72:$AA$79))*Parameters!$B$37/12</f>
        <v>147107.2420973473</v>
      </c>
      <c r="M81" s="46">
        <f>(SUM($AA$18:$AA$29)-SUM($AA$36,$AA$42,$AA$48,$AA$54,$AA$60,$AA$66,$AA$72:$AA$79))*Parameters!$B$37/12</f>
        <v>147107.2420973473</v>
      </c>
      <c r="N81" s="46">
        <f>(SUM($AA$18:$AA$29)-SUM($AA$36,$AA$42,$AA$48,$AA$54,$AA$60,$AA$66,$AA$72:$AA$79))*Parameters!$B$37/12</f>
        <v>147107.2420973473</v>
      </c>
      <c r="O81" s="46">
        <f>(SUM($AA$18:$AA$29)-SUM($AA$36,$AA$42,$AA$48,$AA$54,$AA$60,$AA$66,$AA$72:$AA$79))*Parameters!$B$37/12</f>
        <v>147107.2420973473</v>
      </c>
      <c r="P81" s="46">
        <f>(SUM($AA$18:$AA$29)-SUM($AA$36,$AA$42,$AA$48,$AA$54,$AA$60,$AA$66,$AA$72:$AA$79))*Parameters!$B$37/12</f>
        <v>147107.2420973473</v>
      </c>
      <c r="Q81" s="46">
        <f>(SUM($AA$18:$AA$29)-SUM($AA$36,$AA$42,$AA$48,$AA$54,$AA$60,$AA$66,$AA$72:$AA$79))*Parameters!$B$37/12</f>
        <v>147107.2420973473</v>
      </c>
      <c r="R81" s="46">
        <f>(SUM($AA$18:$AA$29)-SUM($AA$36,$AA$42,$AA$48,$AA$54,$AA$60,$AA$66,$AA$72:$AA$79))*Parameters!$B$37/12</f>
        <v>147107.2420973473</v>
      </c>
      <c r="S81" s="46">
        <f>(SUM($AA$18:$AA$29)-SUM($AA$36,$AA$42,$AA$48,$AA$54,$AA$60,$AA$66,$AA$72:$AA$79))*Parameters!$B$37/12</f>
        <v>147107.2420973473</v>
      </c>
      <c r="T81" s="46">
        <f>(SUM($AA$18:$AA$29)-SUM($AA$36,$AA$42,$AA$48,$AA$54,$AA$60,$AA$66,$AA$72:$AA$79))*Parameters!$B$37/12</f>
        <v>147107.2420973473</v>
      </c>
      <c r="U81" s="46">
        <f>(SUM($AA$18:$AA$29)-SUM($AA$36,$AA$42,$AA$48,$AA$54,$AA$60,$AA$66,$AA$72:$AA$79))*Parameters!$B$37/12</f>
        <v>147107.2420973473</v>
      </c>
      <c r="V81" s="46">
        <f>(SUM($AA$18:$AA$29)-SUM($AA$36,$AA$42,$AA$48,$AA$54,$AA$60,$AA$66,$AA$72:$AA$79))*Parameters!$B$37/12</f>
        <v>147107.2420973473</v>
      </c>
      <c r="W81" s="46">
        <f>(SUM($AA$18:$AA$29)-SUM($AA$36,$AA$42,$AA$48,$AA$54,$AA$60,$AA$66,$AA$72:$AA$79))*Parameters!$B$37/12</f>
        <v>147107.2420973473</v>
      </c>
      <c r="X81" s="46">
        <f>(SUM($AA$18:$AA$29)-SUM($AA$36,$AA$42,$AA$48,$AA$54,$AA$60,$AA$66,$AA$72:$AA$79))*Parameters!$B$37/12</f>
        <v>147107.2420973473</v>
      </c>
      <c r="Y81" s="46">
        <f>(SUM($AA$18:$AA$29)-SUM($AA$36,$AA$42,$AA$48,$AA$54,$AA$60,$AA$66,$AA$72:$AA$79))*Parameters!$B$37/12</f>
        <v>147107.2420973473</v>
      </c>
      <c r="Z81" s="46">
        <f>SUMIF($B$13:$Y$13,"Yes",B81:Y81)</f>
        <v>1912394.147265515</v>
      </c>
      <c r="AA81" s="46">
        <f>SUM(B81:M81)</f>
        <v>1765286.905168168</v>
      </c>
      <c r="AB81" s="46">
        <f>SUM(B81:Y81)</f>
        <v>3530573.810336337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198649.2420973473</v>
      </c>
      <c r="C88" s="19">
        <f>SUM(C72:C82,C66,C60,C54,C48,C42,C36)</f>
        <v>183487.2420973473</v>
      </c>
      <c r="D88" s="19">
        <f>SUM(D72:D82,D66,D60,D54,D48,D42,D36)</f>
        <v>351769.2420973473</v>
      </c>
      <c r="E88" s="19">
        <f>SUM(E72:E82,E66,E60,E54,E48,E42,E36)</f>
        <v>297849.2420973473</v>
      </c>
      <c r="F88" s="19">
        <f>SUM(F72:F82,F66,F60,F54,F48,F42,F36)</f>
        <v>228749.2420973473</v>
      </c>
      <c r="G88" s="19">
        <f>SUM(G72:G82,G66,G60,G54,G48,G42,G36)</f>
        <v>213849.2420973473</v>
      </c>
      <c r="H88" s="19">
        <f>SUM(H72:H82,H66,H60,H54,H48,H42,H36)</f>
        <v>198649.2420973473</v>
      </c>
      <c r="I88" s="19">
        <f>SUM(I72:I82,I66,I60,I54,I48,I42,I36)</f>
        <v>183487.2420973473</v>
      </c>
      <c r="J88" s="19">
        <f>SUM(J72:J82,J66,J60,J54,J48,J42,J36)</f>
        <v>351769.2420973473</v>
      </c>
      <c r="K88" s="19">
        <f>SUM(K72:K82,K66,K60,K54,K48,K42,K36)</f>
        <v>297849.2420973473</v>
      </c>
      <c r="L88" s="19">
        <f>SUM(L72:L82,L66,L60,L54,L48,L42,L36)</f>
        <v>228749.2420973473</v>
      </c>
      <c r="M88" s="19">
        <f>SUM(M72:M82,M66,M60,M54,M48,M42,M36)</f>
        <v>213849.2420973473</v>
      </c>
      <c r="N88" s="19">
        <f>SUM(N72:N82,N66,N60,N54,N48,N42,N36)</f>
        <v>198649.2420973473</v>
      </c>
      <c r="O88" s="19">
        <f>SUM(O72:O82,O66,O60,O54,O48,O42,O36)</f>
        <v>183487.2420973473</v>
      </c>
      <c r="P88" s="19">
        <f>SUM(P72:P82,P66,P60,P54,P48,P42,P36)</f>
        <v>351769.2420973473</v>
      </c>
      <c r="Q88" s="19">
        <f>SUM(Q72:Q82,Q66,Q60,Q54,Q48,Q42,Q36)</f>
        <v>297849.2420973473</v>
      </c>
      <c r="R88" s="19">
        <f>SUM(R72:R82,R66,R60,R54,R48,R42,R36)</f>
        <v>228749.2420973473</v>
      </c>
      <c r="S88" s="19">
        <f>SUM(S72:S82,S66,S60,S54,S48,S42,S36)</f>
        <v>213849.2420973473</v>
      </c>
      <c r="T88" s="19">
        <f>SUM(T72:T82,T66,T60,T54,T48,T42,T36)</f>
        <v>198649.2420973473</v>
      </c>
      <c r="U88" s="19">
        <f>SUM(U72:U82,U66,U60,U54,U48,U42,U36)</f>
        <v>183487.2420973473</v>
      </c>
      <c r="V88" s="19">
        <f>SUM(V72:V82,V66,V60,V54,V48,V42,V36)</f>
        <v>351769.2420973473</v>
      </c>
      <c r="W88" s="19">
        <f>SUM(W72:W82,W66,W60,W54,W48,W42,W36)</f>
        <v>297849.2420973473</v>
      </c>
      <c r="X88" s="19">
        <f>SUM(X72:X82,X66,X60,X54,X48,X42,X36)</f>
        <v>228749.2420973473</v>
      </c>
      <c r="Y88" s="19">
        <f>SUM(Y72:Y82,Y66,Y60,Y54,Y48,Y42,Y36)</f>
        <v>213849.2420973473</v>
      </c>
      <c r="Z88" s="19">
        <f>SUMIF($B$13:$Y$13,"Yes",B88:Y88)</f>
        <v>3147356.147265515</v>
      </c>
      <c r="AA88" s="19">
        <f>SUM(B88:M88)</f>
        <v>2948706.905168167</v>
      </c>
      <c r="AB88" s="19">
        <f>SUM(B88:Y88)</f>
        <v>5897413.810336333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40000</v>
      </c>
    </row>
    <row r="95" spans="1:30">
      <c r="A95" t="s">
        <v>61</v>
      </c>
      <c r="B95" s="36">
        <f>Inputs!B47</f>
        <v>6000</v>
      </c>
    </row>
    <row r="96" spans="1:30">
      <c r="A96" t="s">
        <v>62</v>
      </c>
      <c r="B96" s="36">
        <f>SUMPRODUCT(Inputs!C19:C21,Calculations!O14:O16)</f>
        <v>720000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12250000</v>
      </c>
    </row>
    <row r="98" spans="1:30">
      <c r="A98" t="s">
        <v>64</v>
      </c>
      <c r="B98" s="36">
        <f>IF(Inputs!B44="Yes",Inputs!B45,0)</f>
        <v>90000</v>
      </c>
    </row>
    <row r="99" spans="1:30">
      <c r="A99" t="s">
        <v>65</v>
      </c>
      <c r="B99" s="36">
        <f>Inputs!B46</f>
        <v>210000</v>
      </c>
    </row>
    <row r="100" spans="1:30" customHeight="1" ht="15.75">
      <c r="A100" s="18" t="s">
        <v>66</v>
      </c>
      <c r="B100" s="37">
        <f>Inputs!B48</f>
        <v>20000000</v>
      </c>
    </row>
    <row r="101" spans="1:30" customHeight="1" ht="15.75">
      <c r="A101" s="1" t="s">
        <v>67</v>
      </c>
      <c r="B101" s="19">
        <f>SUM(B94:B100)</f>
        <v>33316000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201500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8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7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0</v>
      </c>
    </row>
    <row r="9" spans="1:48">
      <c r="A9" s="143" t="s">
        <v>97</v>
      </c>
      <c r="B9" s="16"/>
      <c r="C9" s="143">
        <v>20</v>
      </c>
      <c r="D9" s="16"/>
      <c r="E9" s="147" t="s">
        <v>90</v>
      </c>
      <c r="F9" s="149" t="s">
        <v>98</v>
      </c>
      <c r="G9" s="147"/>
      <c r="H9" s="147" t="s">
        <v>92</v>
      </c>
      <c r="I9" s="147" t="s">
        <v>93</v>
      </c>
      <c r="J9" s="148" t="s">
        <v>99</v>
      </c>
      <c r="K9" s="138"/>
      <c r="L9" s="16"/>
      <c r="M9" s="165">
        <v>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60</v>
      </c>
      <c r="D19" s="145"/>
      <c r="E19" s="20"/>
      <c r="F19" s="145" t="s">
        <v>92</v>
      </c>
      <c r="G19" s="20"/>
      <c r="H19" s="20"/>
      <c r="I19" s="145" t="s">
        <v>114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5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30000</v>
      </c>
    </row>
    <row r="31" spans="1:48">
      <c r="A31" s="5" t="s">
        <v>121</v>
      </c>
      <c r="B31" s="158">
        <v>5000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90000</v>
      </c>
    </row>
    <row r="46" spans="1:48" customHeight="1" ht="30">
      <c r="A46" s="57" t="s">
        <v>135</v>
      </c>
      <c r="B46" s="161">
        <v>210000</v>
      </c>
    </row>
    <row r="47" spans="1:48" customHeight="1" ht="30">
      <c r="A47" s="57" t="s">
        <v>136</v>
      </c>
      <c r="B47" s="161">
        <v>6000</v>
      </c>
    </row>
    <row r="48" spans="1:48" customHeight="1" ht="30">
      <c r="A48" s="57" t="s">
        <v>137</v>
      </c>
      <c r="B48" s="161">
        <v>20000000</v>
      </c>
    </row>
    <row r="49" spans="1:48" customHeight="1" ht="30">
      <c r="A49" s="57" t="s">
        <v>138</v>
      </c>
      <c r="B49" s="161">
        <v>40000</v>
      </c>
    </row>
    <row r="50" spans="1:48">
      <c r="A50" s="43"/>
      <c r="B50" s="36"/>
    </row>
    <row r="51" spans="1:48">
      <c r="A51" s="58" t="s">
        <v>139</v>
      </c>
      <c r="B51" s="161">
        <v>1500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2000</v>
      </c>
      <c r="B56" s="159">
        <v>0</v>
      </c>
      <c r="C56" s="162" t="s">
        <v>147</v>
      </c>
      <c r="D56" s="163" t="s">
        <v>148</v>
      </c>
      <c r="E56" s="163" t="s">
        <v>93</v>
      </c>
      <c r="F56" s="163" t="s">
        <v>149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151</v>
      </c>
      <c r="C65" s="10" t="s">
        <v>152</v>
      </c>
    </row>
    <row r="66" spans="1:48">
      <c r="A66" s="142" t="s">
        <v>153</v>
      </c>
      <c r="B66" s="159">
        <v>665470</v>
      </c>
      <c r="C66" s="163">
        <v>647650</v>
      </c>
      <c r="D66" s="49">
        <f>INDEX(Parameters!$D$79:$D$90,MATCH(Inputs!A66,Parameters!$C$79:$C$90,0))</f>
        <v>3</v>
      </c>
    </row>
    <row r="67" spans="1:48">
      <c r="A67" s="143" t="s">
        <v>154</v>
      </c>
      <c r="B67" s="157">
        <v>338392</v>
      </c>
      <c r="C67" s="165">
        <v>315914</v>
      </c>
      <c r="D67" s="49">
        <f>INDEX(Parameters!$D$79:$D$90,MATCH(Inputs!A67,Parameters!$C$79:$C$90,0))</f>
        <v>2</v>
      </c>
    </row>
    <row r="68" spans="1:48">
      <c r="A68" s="143" t="s">
        <v>155</v>
      </c>
      <c r="B68" s="157">
        <v>178550</v>
      </c>
      <c r="C68" s="165">
        <v>160310</v>
      </c>
      <c r="D68" s="49">
        <f>INDEX(Parameters!$D$79:$D$90,MATCH(Inputs!A68,Parameters!$C$79:$C$90,0))</f>
        <v>1</v>
      </c>
    </row>
    <row r="69" spans="1:48">
      <c r="A69" s="143" t="s">
        <v>156</v>
      </c>
      <c r="B69" s="157">
        <v>411714</v>
      </c>
      <c r="C69" s="165">
        <v>388194</v>
      </c>
      <c r="D69" s="49">
        <f>INDEX(Parameters!$D$79:$D$90,MATCH(Inputs!A69,Parameters!$C$79:$C$90,0))</f>
        <v>12</v>
      </c>
    </row>
    <row r="70" spans="1:48">
      <c r="A70" s="143" t="s">
        <v>157</v>
      </c>
      <c r="B70" s="157">
        <v>156807</v>
      </c>
      <c r="C70" s="165">
        <v>137187</v>
      </c>
      <c r="D70" s="49">
        <f>INDEX(Parameters!$D$79:$D$90,MATCH(Inputs!A70,Parameters!$C$79:$C$90,0))</f>
        <v>11</v>
      </c>
    </row>
    <row r="71" spans="1:48">
      <c r="A71" s="144" t="s">
        <v>158</v>
      </c>
      <c r="B71" s="158">
        <v>216350</v>
      </c>
      <c r="C71" s="167">
        <v>201568</v>
      </c>
      <c r="D71" s="49">
        <f>INDEX(Parameters!$D$79:$D$90,MATCH(Inputs!A71,Parameters!$C$79:$C$90,0))</f>
        <v>10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14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200000</v>
      </c>
    </row>
    <row r="82" spans="1:48">
      <c r="A82" t="s">
        <v>168</v>
      </c>
      <c r="B82" s="161">
        <v>18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12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 t="str">
        <f>Inputs!A7</f>
        <v>Carrots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42917</v>
      </c>
      <c r="C4" s="38">
        <f>IFERROR(DATE(YEAR(B4),MONTH(B4)+ROUND(T4/2,0),DAY(B4)),B4)</f>
        <v>42979</v>
      </c>
      <c r="D4" s="38">
        <f>IFERROR(DATE(YEAR(B4),MONTH(B4)+T4,DAY(B4)),"")</f>
        <v>43040</v>
      </c>
      <c r="E4" s="38">
        <f>IFERROR(IF($S4=0,"",IF($S4=2,DATE(YEAR(B4),MONTH(B4)+6,DAY(B4)),IF($S4=1,B4,""))),"")</f>
        <v>43101</v>
      </c>
      <c r="F4" s="38">
        <f>IFERROR(IF($S4=0,"",IF($S4=2,DATE(YEAR(C4),MONTH(C4)+6,DAY(C4)),IF($S4=1,C4,""))),"")</f>
        <v>43160</v>
      </c>
      <c r="G4" s="38">
        <f>IFERROR(IF($S4=0,"",IF($S4=2,DATE(YEAR(D4),MONTH(D4)+6,DAY(D4)),IF($S4=1,D4,""))),"")</f>
        <v>43221</v>
      </c>
      <c r="H4" s="20">
        <f>Inputs!C7</f>
        <v>8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80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8780.158337056037</v>
      </c>
      <c r="M4" s="25">
        <f>L4*H4</f>
        <v>70241.26669644829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28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3736835.388251049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83200</v>
      </c>
      <c r="W4" s="33">
        <f>IFERROR(J4*H4*Parameters!$B$35+IF(OR(Inputs!F7=Parameters!$E$78,Inputs!F7=Parameters!$E$80),Calculations!H4*Parameters!$B$36,0),0)</f>
        <v>16000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15200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152000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Potatoes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42887</v>
      </c>
      <c r="C5" s="39">
        <f>IFERROR(DATE(YEAR(B5),MONTH(B5)+ROUND(T5/2,0),DAY(B5)),B5)</f>
        <v>42948</v>
      </c>
      <c r="D5" s="39">
        <f>IFERROR(DATE(YEAR(B5),MONTH(B5)+T5,DAY(B5)),"")</f>
        <v>43009</v>
      </c>
      <c r="E5" s="39">
        <f>IFERROR(IF($S5=0,"",IF($S5=2,DATE(YEAR(B5),MONTH(B5)+6,DAY(B5)),IF($S5=1,B5,""))),"")</f>
        <v>43070</v>
      </c>
      <c r="F5" s="39">
        <f>IFERROR(IF($S5=0,"",IF($S5=2,DATE(YEAR(C5),MONTH(C5)+6,DAY(C5)),IF($S5=1,C5,""))),"")</f>
        <v>43132</v>
      </c>
      <c r="G5" s="39">
        <f>IFERROR(IF($S5=0,"",IF($S5=2,DATE(YEAR(D5),MONTH(D5)+6,DAY(D5)),IF($S5=1,D5,""))),"")</f>
        <v>43191</v>
      </c>
      <c r="H5" s="16">
        <f>Inputs!C8</f>
        <v>7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8558.01473327987</v>
      </c>
      <c r="M5" s="30">
        <f>L5*H5</f>
        <v>59906.10313295909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1274801.874669369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168000</v>
      </c>
      <c r="W5" s="34">
        <f>IFERROR(J5*H5*Parameters!$B$35+IF(OR(Inputs!F8=Parameters!$E$78,Inputs!F8=Parameters!$E$80),Calculations!H5*Parameters!$B$36,0),0)</f>
        <v>14000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30100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79800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42979</v>
      </c>
      <c r="C6" s="39">
        <f>IFERROR(DATE(YEAR(B6),MONTH(B6)+ROUND(T6/2,0),DAY(B6)),B6)</f>
        <v>42979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20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60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</v>
      </c>
      <c r="H14" s="121">
        <f>IFERROR(IF(B14="meat",INDEX(Parameters!$A$22:$P$29,MATCH(Calculations!A14,Parameters!$A$22:$A$29,0),MATCH(Parameters!$I$22,Parameters!$A$22:$P$22,0))*G14,""),"")</f>
        <v>30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225000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12000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2000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42867</v>
      </c>
      <c r="C33" s="27">
        <f>IF(B33&lt;&gt;"",IF(COUNT($A$33:A33)&lt;=$G$39,0,$G$41)+IF(COUNT($A$33:A33)&lt;=$G$40,0,$G$42),0)</f>
        <v>19666.66666666667</v>
      </c>
      <c r="D33" s="170">
        <f>IFERROR(DATE(YEAR(B33),MONTH(B33),1)," ")</f>
        <v>42856</v>
      </c>
      <c r="F33" t="s">
        <v>164</v>
      </c>
      <c r="G33" s="128">
        <f>IF(Inputs!B79="","",DATE(YEAR(Inputs!B79),MONTH(Inputs!B79),DAY(Inputs!B79)))</f>
        <v>42837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42898</v>
      </c>
      <c r="C34" s="27">
        <f>IF(B34&lt;&gt;"",IF(COUNT($A$33:A34)&lt;=$G$39,0,$G$41)+IF(COUNT($A$33:A34)&lt;=$G$40,0,$G$42),0)</f>
        <v>19666.66666666667</v>
      </c>
      <c r="D34" s="170">
        <f>IFERROR(DATE(YEAR(B34),MONTH(B34),1)," ")</f>
        <v>42887</v>
      </c>
      <c r="F34" t="s">
        <v>165</v>
      </c>
      <c r="G34" s="128">
        <f>IF(Inputs!B80="","",DATE(YEAR(Inputs!B80),MONTH(Inputs!B80),DAY(Inputs!B80)))</f>
        <v>42867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42928</v>
      </c>
      <c r="C35" s="27">
        <f>IF(B35&lt;&gt;"",IF(COUNT($A$33:A35)&lt;=$G$39,0,$G$41)+IF(COUNT($A$33:A35)&lt;=$G$40,0,$G$42),0)</f>
        <v>19666.66666666667</v>
      </c>
      <c r="D35" s="170">
        <f>IFERROR(DATE(YEAR(B35),MONTH(B35),1)," ")</f>
        <v>42917</v>
      </c>
      <c r="F35" t="s">
        <v>167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42959</v>
      </c>
      <c r="C36" s="27">
        <f>IF(B36&lt;&gt;"",IF(COUNT($A$33:A36)&lt;=$G$39,0,$G$41)+IF(COUNT($A$33:A36)&lt;=$G$40,0,$G$42),0)</f>
        <v>19666.66666666667</v>
      </c>
      <c r="D36" s="170">
        <f>IFERROR(DATE(YEAR(B36),MONTH(B36),1)," ")</f>
        <v>42948</v>
      </c>
      <c r="F36" t="s">
        <v>168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42990</v>
      </c>
      <c r="C37" s="27">
        <f>IF(B37&lt;&gt;"",IF(COUNT($A$33:A37)&lt;=$G$39,0,$G$41)+IF(COUNT($A$33:A37)&lt;=$G$40,0,$G$42),0)</f>
        <v>19666.66666666667</v>
      </c>
      <c r="D37" s="170">
        <f>IFERROR(DATE(YEAR(B37),MONTH(B37),1)," ")</f>
        <v>42979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43020</v>
      </c>
      <c r="C38" s="27">
        <f>IF(B38&lt;&gt;"",IF(COUNT($A$33:A38)&lt;=$G$39,0,$G$41)+IF(COUNT($A$33:A38)&lt;=$G$40,0,$G$42),0)</f>
        <v>19666.66666666667</v>
      </c>
      <c r="D38" s="170">
        <f>IFERROR(DATE(YEAR(B38),MONTH(B38),1)," ")</f>
        <v>43009</v>
      </c>
      <c r="F38" t="s">
        <v>230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43051</v>
      </c>
      <c r="C39" s="27">
        <f>IF(B39&lt;&gt;"",IF(COUNT($A$33:A39)&lt;=$G$39,0,$G$41)+IF(COUNT($A$33:A39)&lt;=$G$40,0,$G$42),0)</f>
        <v>19666.66666666667</v>
      </c>
      <c r="D39" s="170">
        <f>IFERROR(DATE(YEAR(B39),MONTH(B39),1)," ")</f>
        <v>43040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43081</v>
      </c>
      <c r="C40" s="27">
        <f>IF(B40&lt;&gt;"",IF(COUNT($A$33:A40)&lt;=$G$39,0,$G$41)+IF(COUNT($A$33:A40)&lt;=$G$40,0,$G$42),0)</f>
        <v>19666.66666666667</v>
      </c>
      <c r="D40" s="170">
        <f>IFERROR(DATE(YEAR(B40),MONTH(B40),1)," ")</f>
        <v>43070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43112</v>
      </c>
      <c r="C41" s="27">
        <f>IF(B41&lt;&gt;"",IF(COUNT($A$33:A41)&lt;=$G$39,0,$G$41)+IF(COUNT($A$33:A41)&lt;=$G$40,0,$G$42),0)</f>
        <v>19666.66666666667</v>
      </c>
      <c r="D41" s="170">
        <f>IFERROR(DATE(YEAR(B41),MONTH(B41),1)," ")</f>
        <v>43101</v>
      </c>
      <c r="F41" t="s">
        <v>231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43143</v>
      </c>
      <c r="C42" s="27">
        <f>IF(B42&lt;&gt;"",IF(COUNT($A$33:A42)&lt;=$G$39,0,$G$41)+IF(COUNT($A$33:A42)&lt;=$G$40,0,$G$42),0)</f>
        <v>19666.66666666667</v>
      </c>
      <c r="D42" s="170">
        <f>IFERROR(DATE(YEAR(B42),MONTH(B42),1)," ")</f>
        <v>43132</v>
      </c>
      <c r="F42" t="s">
        <v>232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43171</v>
      </c>
      <c r="C43" s="27">
        <f>IF(B43&lt;&gt;"",IF(COUNT($A$33:A43)&lt;=$G$39,0,$G$41)+IF(COUNT($A$33:A43)&lt;=$G$40,0,$G$42),0)</f>
        <v>19666.66666666667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43202</v>
      </c>
      <c r="C44" s="27">
        <f>IF(B44&lt;&gt;"",IF(COUNT($A$33:A44)&lt;=$G$39,0,$G$41)+IF(COUNT($A$33:A44)&lt;=$G$40,0,$G$42),0)</f>
        <v>19666.66666666667</v>
      </c>
      <c r="D44" s="170">
        <f>IFERROR(DATE(YEAR(B44),MONTH(B44),1)," ")</f>
        <v>43191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89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205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299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299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113</v>
      </c>
      <c r="B28" s="71" t="s">
        <v>299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299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101</v>
      </c>
      <c r="B41" s="191" t="s">
        <v>93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113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316</v>
      </c>
      <c r="H52" s="12" t="s">
        <v>132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233</v>
      </c>
      <c r="E53" s="10" t="s">
        <v>192</v>
      </c>
      <c r="F53" s="10" t="s">
        <v>252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170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229</v>
      </c>
      <c r="J76" s="11" t="s">
        <v>350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93</v>
      </c>
      <c r="F77" s="12" t="s">
        <v>93</v>
      </c>
      <c r="G77" s="12" t="s">
        <v>114</v>
      </c>
      <c r="H77" s="12" t="s">
        <v>132</v>
      </c>
      <c r="I77" s="12" t="s">
        <v>352</v>
      </c>
      <c r="J77" s="136" t="s">
        <v>353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317</v>
      </c>
      <c r="I78" s="12" t="s">
        <v>358</v>
      </c>
      <c r="J78" s="70" t="s">
        <v>359</v>
      </c>
      <c r="K78" s="12" t="s">
        <v>93</v>
      </c>
      <c r="AJ78" s="12"/>
    </row>
    <row r="79" spans="1:36">
      <c r="B79" s="176">
        <v>10</v>
      </c>
      <c r="C79" s="12" t="s">
        <v>155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170</v>
      </c>
      <c r="J79" s="70" t="s">
        <v>363</v>
      </c>
      <c r="K79" s="12" t="s">
        <v>93</v>
      </c>
      <c r="AJ79" s="12"/>
    </row>
    <row r="80" spans="1:36">
      <c r="B80" s="176">
        <v>20</v>
      </c>
      <c r="C80" s="12" t="s">
        <v>154</v>
      </c>
      <c r="D80" s="12">
        <f>D79+1</f>
        <v>2</v>
      </c>
      <c r="E80" s="12" t="s">
        <v>91</v>
      </c>
      <c r="F80" s="12" t="s">
        <v>364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153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96</v>
      </c>
      <c r="D84" s="12">
        <f>D83+1</f>
        <v>6</v>
      </c>
    </row>
    <row r="85" spans="1:36">
      <c r="B85" s="176">
        <v>70</v>
      </c>
      <c r="C85" s="12" t="s">
        <v>94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99</v>
      </c>
      <c r="D87" s="12">
        <f>D86+1</f>
        <v>9</v>
      </c>
    </row>
    <row r="88" spans="1:36">
      <c r="B88" s="176">
        <v>99.99999999999999</v>
      </c>
      <c r="C88" s="12" t="s">
        <v>158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