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<sst xmlns="http://schemas.openxmlformats.org/spreadsheetml/2006/main" uniqueCount="374">
  <si>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</si>
  <si>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</si>
  <si>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</si>
  <si>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</si>
  <si>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</si>
  <si>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</si>
  <si>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</si>
  <si>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</si>
  <si>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</si>
  <si>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</si>
  <si>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</si>
  <si>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</si>
  <si>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</si>
  <si>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</si>
  <si>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</si>
  <si>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</si>
  <si>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</si>
  <si>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</si>
  <si>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</si>
  <si>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</si>
  <si>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</si>
  <si>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</si>
  <si>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</si>
  <si>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</si>
  <si>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</si>
  <si>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</si>
  <si>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</si>
  <si>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</si>
  <si>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</si>
  <si>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</si>
  <si>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</si>
  <si>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</si>
  <si>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</si>
  <si>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</si>
  <si>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</si>
  <si>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</si>
  <si>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</si>
  <si>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</si>
  <si>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</si>
  <si>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</si>
  <si>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</si>
  <si>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</si>
  <si>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</si>
  <si>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</si>
  <si>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</si>
  <si>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</si>
  <si>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</si>
  <si>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</si>
  <si>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</si>
  <si>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</si>
  <si>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</si>
  <si>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</si>
  <si>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</si>
  <si>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</si>
  <si>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</si>
  <si>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</si>
  <si>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</si>
  <si>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</si>
  <si>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</si>
  <si>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</si>
  <si>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</si>
  <si>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</si>
  <si>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</si>
  <si>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</si>
  <si>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</si>
  <si>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</si>
  <si>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</si>
  <si>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</si>
  <si>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</si>
  <si>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</si>
  <si>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</si>
  <si>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</si>
  <si>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</si>
  <si>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</si>
  <si>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</si>
  <si>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</si>
  <si>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</si>
  <si>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</si>
  <si>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</si>
  <si>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</si>
  <si>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</si>
  <si>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</si>
  <si>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</si>
  <si>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</si>
  <si>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</si>
  <si>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</si>
  <si>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</si>
  <si>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</si>
  <si>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</si>
  <si>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</si>
  <si>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</si>
  <si>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</si>
  <si>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</si>
  <si>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</si>
  <si>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</si>
  <si>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</si>
  <si>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</si>
  <si>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</si>
  <si>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</si>
  <si>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</si>
  <si>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</si>
  <si>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</si>
  <si>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</si>
  <si>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</si>
  <si>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Never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</si>
  <si>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</si>
  <si>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</si>
  <si>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</si>
  <si>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</si>
  <si>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</si>
  <si>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printing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</si>
  <si>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</si>
  <si>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</si>
  <si>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</si>
  <si>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</si>
  <si>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</si>
  <si>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</si>
  <si>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</si>
  <si>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</si>
  <si>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</si>
  <si>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</si>
  <si>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</si>
  <si>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</si>
  <si>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</si>
  <si>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</si>
  <si>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</si>
  <si>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</si>
  <si>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</si>
  <si>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</si>
  <si>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</si>
  <si>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</si>
  <si>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</si>
  <si>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</si>
  <si>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</si>
  <si>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</si>
  <si>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</si>
  <si>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</si>
  <si>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</si>
  <si>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12/10/2014</t>
  </si>
  <si>
    <t>family bank</t>
  </si>
  <si>
    <t>well sevicing the loan</t>
  </si>
  <si>
    <t>4/16/2016</t>
  </si>
  <si>
    <t>Equity bank</t>
  </si>
  <si>
    <t>well servicing</t>
  </si>
  <si>
    <t>3/30/2017</t>
  </si>
  <si>
    <t>musoni</t>
  </si>
  <si>
    <t>No</t>
  </si>
  <si>
    <t>yet to start the payment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</si>
  <si>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</si>
  <si>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</si>
  <si>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</si>
  <si>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</si>
  <si>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</si>
  <si>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</si>
  <si>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</si>
  <si>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</si>
  <si>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</si>
  <si>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</si>
  <si>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</si>
  <si>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</si>
  <si>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2017/4/18</t>
  </si>
  <si>
    <t>Loan terms</t>
  </si>
  <si>
    <t>Expected disbursement date</t>
  </si>
  <si>
    <t>Expected first repayment date</t>
  </si>
  <si>
    <t>2017/4/19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</si>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</sst>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printing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0.9086417003625938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0.2468807184597053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90666.66666666667</v>
      </c>
    </row>
    <row r="17" spans="1:7">
      <c r="B17" s="1" t="s">
        <v>11</v>
      </c>
      <c r="C17" s="36">
        <f>SUM(Output!B6:M6)</f>
        <v>-34691.66666666654</v>
      </c>
    </row>
    <row r="18" spans="1:7">
      <c r="B18" s="1" t="s">
        <v>12</v>
      </c>
      <c r="C18" s="36">
        <f>MIN(Output!B6:M6)</f>
        <v>-69720.57263329707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69122.91666666667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970000</v>
      </c>
    </row>
    <row r="25" spans="1:7">
      <c r="B25" s="1" t="s">
        <v>18</v>
      </c>
      <c r="C25" s="36">
        <f>MAX(Inputs!A56:A60)</f>
        <v>2400000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-69720.57263329707</v>
      </c>
      <c r="C6" s="51">
        <f>C30-C88</f>
        <v>-37553.90596663038</v>
      </c>
      <c r="D6" s="51">
        <f>D30-D88</f>
        <v>-37553.90596663038</v>
      </c>
      <c r="E6" s="51">
        <f>E30-E88</f>
        <v>-37553.90596663038</v>
      </c>
      <c r="F6" s="51">
        <f>F30-F88</f>
        <v>-37553.90596663038</v>
      </c>
      <c r="G6" s="51">
        <f>G30-G88</f>
        <v>-37553.90596663038</v>
      </c>
      <c r="H6" s="51">
        <f>H30-H88</f>
        <v>-37553.90596663038</v>
      </c>
      <c r="I6" s="51">
        <f>I30-I88</f>
        <v>-16139.32490025391</v>
      </c>
      <c r="J6" s="51">
        <f>J30-J88</f>
        <v>69122.91666666667</v>
      </c>
      <c r="K6" s="51">
        <f>K30-K88</f>
        <v>69122.91666666667</v>
      </c>
      <c r="L6" s="51">
        <f>L30-L88</f>
        <v>69122.91666666667</v>
      </c>
      <c r="M6" s="51">
        <f>M30-M88</f>
        <v>69122.91666666667</v>
      </c>
      <c r="N6" s="51">
        <f>N30-N88</f>
        <v>69122.91666666667</v>
      </c>
      <c r="O6" s="51">
        <f>O30-O88</f>
        <v>69122.91666666667</v>
      </c>
      <c r="P6" s="51">
        <f>P30-P88</f>
        <v>69122.91666666667</v>
      </c>
      <c r="Q6" s="51">
        <f>Q30-Q88</f>
        <v>69122.91666666667</v>
      </c>
      <c r="R6" s="51">
        <f>R30-R88</f>
        <v>69122.91666666667</v>
      </c>
      <c r="S6" s="51">
        <f>S30-S88</f>
        <v>69122.91666666667</v>
      </c>
      <c r="T6" s="51">
        <f>T30-T88</f>
        <v>69122.91666666667</v>
      </c>
      <c r="U6" s="51">
        <f>U30-U88</f>
        <v>69122.91666666667</v>
      </c>
      <c r="V6" s="51">
        <f>V30-V88</f>
        <v>69122.91666666667</v>
      </c>
      <c r="W6" s="51">
        <f>W30-W88</f>
        <v>69122.91666666667</v>
      </c>
      <c r="X6" s="51">
        <f>X30-X88</f>
        <v>69122.91666666667</v>
      </c>
      <c r="Y6" s="51">
        <f>Y30-Y88</f>
        <v>69122.91666666667</v>
      </c>
      <c r="Z6" s="51">
        <f>SUMIF($B$13:$Y$13,"Yes",B6:Y6)</f>
        <v>794783.3333333335</v>
      </c>
      <c r="AA6" s="51">
        <f>AA30-AA88</f>
        <v>-34691.66666666651</v>
      </c>
      <c r="AB6" s="51">
        <f>AB30-AB88</f>
        <v>794783.3333333321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160000</v>
      </c>
      <c r="J7" s="80">
        <f>IF(ISERROR(VLOOKUP(MONTH(J5),Inputs!$D$66:$D$71,1,0)),"",INDEX(Inputs!$B$66:$B$71,MATCH(MONTH(Output!J5),Inputs!$D$66:$D$71,0))-INDEX(Inputs!$C$66:$C$71,MATCH(MONTH(Output!J5),Inputs!$D$66:$D$71,0)))</f>
        <v>3000</v>
      </c>
      <c r="K7" s="80">
        <f>IF(ISERROR(VLOOKUP(MONTH(K5),Inputs!$D$66:$D$71,1,0)),"",INDEX(Inputs!$B$66:$B$71,MATCH(MONTH(Output!K5),Inputs!$D$66:$D$71,0))-INDEX(Inputs!$C$66:$C$71,MATCH(MONTH(Output!K5),Inputs!$D$66:$D$71,0)))</f>
        <v>311000</v>
      </c>
      <c r="L7" s="80">
        <f>IF(ISERROR(VLOOKUP(MONTH(L5),Inputs!$D$66:$D$71,1,0)),"",INDEX(Inputs!$B$66:$B$71,MATCH(MONTH(Output!L5),Inputs!$D$66:$D$71,0))-INDEX(Inputs!$C$66:$C$71,MATCH(MONTH(Output!L5),Inputs!$D$66:$D$71,0)))</f>
        <v>3000</v>
      </c>
      <c r="M7" s="80">
        <f>IF(ISERROR(VLOOKUP(MONTH(M5),Inputs!$D$66:$D$71,1,0)),"",INDEX(Inputs!$B$66:$B$71,MATCH(MONTH(Output!M5),Inputs!$D$66:$D$71,0))-INDEX(Inputs!$C$66:$C$71,MATCH(MONTH(Output!M5),Inputs!$D$66:$D$71,0)))</f>
        <v>399000</v>
      </c>
      <c r="N7" s="80">
        <f>IF(ISERROR(VLOOKUP(MONTH(N5),Inputs!$D$66:$D$71,1,0)),"",INDEX(Inputs!$B$66:$B$71,MATCH(MONTH(Output!N5),Inputs!$D$66:$D$71,0))-INDEX(Inputs!$C$66:$C$71,MATCH(MONTH(Output!N5),Inputs!$D$66:$D$71,0)))</f>
        <v>91000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160000</v>
      </c>
      <c r="V7" s="80">
        <f>IF(ISERROR(VLOOKUP(MONTH(V5),Inputs!$D$66:$D$71,1,0)),"",INDEX(Inputs!$B$66:$B$71,MATCH(MONTH(Output!V5),Inputs!$D$66:$D$71,0))-INDEX(Inputs!$C$66:$C$71,MATCH(MONTH(Output!V5),Inputs!$D$66:$D$71,0)))</f>
        <v>3000</v>
      </c>
      <c r="W7" s="80">
        <f>IF(ISERROR(VLOOKUP(MONTH(W5),Inputs!$D$66:$D$71,1,0)),"",INDEX(Inputs!$B$66:$B$71,MATCH(MONTH(Output!W5),Inputs!$D$66:$D$71,0))-INDEX(Inputs!$C$66:$C$71,MATCH(MONTH(Output!W5),Inputs!$D$66:$D$71,0)))</f>
        <v>311000</v>
      </c>
      <c r="X7" s="80">
        <f>IF(ISERROR(VLOOKUP(MONTH(X5),Inputs!$D$66:$D$71,1,0)),"",INDEX(Inputs!$B$66:$B$71,MATCH(MONTH(Output!X5),Inputs!$D$66:$D$71,0))-INDEX(Inputs!$C$66:$C$71,MATCH(MONTH(Output!X5),Inputs!$D$66:$D$71,0)))</f>
        <v>3000</v>
      </c>
      <c r="Y7" s="80">
        <f>IF(ISERROR(VLOOKUP(MONTH(Y5),Inputs!$D$66:$D$71,1,0)),"",INDEX(Inputs!$B$66:$B$71,MATCH(MONTH(Output!Y5),Inputs!$D$66:$D$71,0))-INDEX(Inputs!$C$66:$C$71,MATCH(MONTH(Output!Y5),Inputs!$D$66:$D$71,0)))</f>
        <v>399000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1600000</v>
      </c>
      <c r="AA9" s="75">
        <f>SUM(B9:M9)</f>
        <v>1600000</v>
      </c>
      <c r="AB9" s="75">
        <f>SUM(B9:Y9)</f>
        <v>1600000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90666.66666666667</v>
      </c>
      <c r="C10" s="37">
        <f>SUMPRODUCT((Calculations!$D$33:$D$84=Output!C5)+0,Calculations!$C$33:$C$84)</f>
        <v>90666.66666666667</v>
      </c>
      <c r="D10" s="37">
        <f>SUMPRODUCT((Calculations!$D$33:$D$84=Output!D5)+0,Calculations!$C$33:$C$84)</f>
        <v>90666.66666666667</v>
      </c>
      <c r="E10" s="37">
        <f>SUMPRODUCT((Calculations!$D$33:$D$84=Output!E5)+0,Calculations!$C$33:$C$84)</f>
        <v>90666.66666666667</v>
      </c>
      <c r="F10" s="37">
        <f>SUMPRODUCT((Calculations!$D$33:$D$84=Output!F5)+0,Calculations!$C$33:$C$84)</f>
        <v>90666.66666666667</v>
      </c>
      <c r="G10" s="37">
        <f>SUMPRODUCT((Calculations!$D$33:$D$84=Output!G5)+0,Calculations!$C$33:$C$84)</f>
        <v>90666.66666666667</v>
      </c>
      <c r="H10" s="37">
        <f>SUMPRODUCT((Calculations!$D$33:$D$84=Output!H5)+0,Calculations!$C$33:$C$84)</f>
        <v>90666.66666666667</v>
      </c>
      <c r="I10" s="37">
        <f>SUMPRODUCT((Calculations!$D$33:$D$84=Output!I5)+0,Calculations!$C$33:$C$84)</f>
        <v>90666.66666666667</v>
      </c>
      <c r="J10" s="37">
        <f>SUMPRODUCT((Calculations!$D$33:$D$84=Output!J5)+0,Calculations!$C$33:$C$84)</f>
        <v>90666.66666666667</v>
      </c>
      <c r="K10" s="37">
        <f>SUMPRODUCT((Calculations!$D$33:$D$84=Output!K5)+0,Calculations!$C$33:$C$84)</f>
        <v>90666.66666666667</v>
      </c>
      <c r="L10" s="37">
        <f>SUMPRODUCT((Calculations!$D$33:$D$84=Output!L5)+0,Calculations!$C$33:$C$84)</f>
        <v>90666.66666666667</v>
      </c>
      <c r="M10" s="37">
        <f>SUMPRODUCT((Calculations!$D$33:$D$84=Output!M5)+0,Calculations!$C$33:$C$84)</f>
        <v>90666.66666666667</v>
      </c>
      <c r="N10" s="37">
        <f>SUMPRODUCT((Calculations!$D$33:$D$84=Output!N5)+0,Calculations!$C$33:$C$84)</f>
        <v>90666.66666666667</v>
      </c>
      <c r="O10" s="37">
        <f>SUMPRODUCT((Calculations!$D$33:$D$84=Output!O5)+0,Calculations!$C$33:$C$84)</f>
        <v>90666.66666666667</v>
      </c>
      <c r="P10" s="37">
        <f>SUMPRODUCT((Calculations!$D$33:$D$84=Output!P5)+0,Calculations!$C$33:$C$84)</f>
        <v>90666.66666666667</v>
      </c>
      <c r="Q10" s="37">
        <f>SUMPRODUCT((Calculations!$D$33:$D$84=Output!Q5)+0,Calculations!$C$33:$C$84)</f>
        <v>90666.66666666667</v>
      </c>
      <c r="R10" s="37">
        <f>SUMPRODUCT((Calculations!$D$33:$D$84=Output!R5)+0,Calculations!$C$33:$C$84)</f>
        <v>90666.66666666667</v>
      </c>
      <c r="S10" s="37">
        <f>SUMPRODUCT((Calculations!$D$33:$D$84=Output!S5)+0,Calculations!$C$33:$C$84)</f>
        <v>90666.66666666667</v>
      </c>
      <c r="T10" s="37">
        <f>SUMPRODUCT((Calculations!$D$33:$D$84=Output!T5)+0,Calculations!$C$33:$C$84)</f>
        <v>90666.66666666667</v>
      </c>
      <c r="U10" s="37">
        <f>SUMPRODUCT((Calculations!$D$33:$D$84=Output!U5)+0,Calculations!$C$33:$C$84)</f>
        <v>90666.66666666667</v>
      </c>
      <c r="V10" s="37">
        <f>SUMPRODUCT((Calculations!$D$33:$D$84=Output!V5)+0,Calculations!$C$33:$C$84)</f>
        <v>90666.66666666667</v>
      </c>
      <c r="W10" s="37">
        <f>SUMPRODUCT((Calculations!$D$33:$D$84=Output!W5)+0,Calculations!$C$33:$C$84)</f>
        <v>90666.66666666667</v>
      </c>
      <c r="X10" s="37">
        <f>SUMPRODUCT((Calculations!$D$33:$D$84=Output!X5)+0,Calculations!$C$33:$C$84)</f>
        <v>90666.66666666667</v>
      </c>
      <c r="Y10" s="37">
        <f>SUMPRODUCT((Calculations!$D$33:$D$84=Output!Y5)+0,Calculations!$C$33:$C$84)</f>
        <v>90666.66666666667</v>
      </c>
      <c r="Z10" s="37">
        <f>SUMIF($B$13:$Y$13,"Yes",B10:Y10)</f>
        <v>2176000</v>
      </c>
      <c r="AA10" s="37">
        <f>SUM(B10:M10)</f>
        <v>1088000</v>
      </c>
      <c r="AB10" s="37">
        <f>SUM(B10:Y10)</f>
        <v>2176000</v>
      </c>
    </row>
    <row r="11" spans="1:30" customHeight="1" ht="15.75">
      <c r="A11" s="43" t="s">
        <v>31</v>
      </c>
      <c r="B11" s="80">
        <f>B6+B9-B10</f>
        <v>1439612.760700036</v>
      </c>
      <c r="C11" s="80">
        <f>C6+C9-C10</f>
        <v>-128220.5726332971</v>
      </c>
      <c r="D11" s="80">
        <f>D6+D9-D10</f>
        <v>-128220.5726332971</v>
      </c>
      <c r="E11" s="80">
        <f>E6+E9-E10</f>
        <v>-128220.5726332971</v>
      </c>
      <c r="F11" s="80">
        <f>F6+F9-F10</f>
        <v>-128220.5726332971</v>
      </c>
      <c r="G11" s="80">
        <f>G6+G9-G10</f>
        <v>-128220.5726332971</v>
      </c>
      <c r="H11" s="80">
        <f>H6+H9-H10</f>
        <v>-128220.5726332971</v>
      </c>
      <c r="I11" s="80">
        <f>I6+I9-I10</f>
        <v>-106805.9915669206</v>
      </c>
      <c r="J11" s="80">
        <f>J6+J9-J10</f>
        <v>-21543.75</v>
      </c>
      <c r="K11" s="80">
        <f>K6+K9-K10</f>
        <v>-21543.75</v>
      </c>
      <c r="L11" s="80">
        <f>L6+L9-L10</f>
        <v>-21543.75</v>
      </c>
      <c r="M11" s="80">
        <f>M6+M9-M10</f>
        <v>-21543.75</v>
      </c>
      <c r="N11" s="80">
        <f>N6+N9-N10</f>
        <v>-21543.75</v>
      </c>
      <c r="O11" s="80">
        <f>O6+O9-O10</f>
        <v>-21543.75</v>
      </c>
      <c r="P11" s="80">
        <f>P6+P9-P10</f>
        <v>-21543.75</v>
      </c>
      <c r="Q11" s="80">
        <f>Q6+Q9-Q10</f>
        <v>-21543.75</v>
      </c>
      <c r="R11" s="80">
        <f>R6+R9-R10</f>
        <v>-21543.75</v>
      </c>
      <c r="S11" s="80">
        <f>S6+S9-S10</f>
        <v>-21543.75</v>
      </c>
      <c r="T11" s="80">
        <f>T6+T9-T10</f>
        <v>-21543.75</v>
      </c>
      <c r="U11" s="80">
        <f>U6+U9-U10</f>
        <v>-21543.75</v>
      </c>
      <c r="V11" s="80">
        <f>V6+V9-V10</f>
        <v>-21543.75</v>
      </c>
      <c r="W11" s="80">
        <f>W6+W9-W10</f>
        <v>-21543.75</v>
      </c>
      <c r="X11" s="80">
        <f>X6+X9-X10</f>
        <v>-21543.75</v>
      </c>
      <c r="Y11" s="80">
        <f>Y6+Y9-Y10</f>
        <v>-21543.75</v>
      </c>
      <c r="Z11" s="85">
        <f>SUMIF($B$13:$Y$13,"Yes",B11:Y11)</f>
        <v>218783.3333333335</v>
      </c>
      <c r="AA11" s="80">
        <f>SUM(B11:M11)</f>
        <v>477308.3333333335</v>
      </c>
      <c r="AB11" s="46">
        <f>SUM(B11:Y11)</f>
        <v>218783.3333333335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0.05924843858267468</v>
      </c>
      <c r="C12" s="82">
        <f>IF(C13="Yes",IF(SUM($B$10:C10)/(SUM($B$6:C6)+SUM($B$9:C9))&lt;0,999.99,SUM($B$10:C10)/(SUM($B$6:C6)+SUM($B$9:C9))),"")</f>
        <v>0.1214780150360498</v>
      </c>
      <c r="D12" s="82">
        <f>IF(D13="Yes",IF(SUM($B$10:D10)/(SUM($B$6:D6)+SUM($B$9:D9))&lt;0,999.99,SUM($B$10:D10)/(SUM($B$6:D6)+SUM($B$9:D9))),"")</f>
        <v>0.1869195338303662</v>
      </c>
      <c r="E12" s="82">
        <f>IF(E13="Yes",IF(SUM($B$10:E10)/(SUM($B$6:E6)+SUM($B$9:E9))&lt;0,999.99,SUM($B$10:E10)/(SUM($B$6:E6)+SUM($B$9:E9))),"")</f>
        <v>0.2558282562673905</v>
      </c>
      <c r="F12" s="82">
        <f>IF(F13="Yes",IF(SUM($B$10:F10)/(SUM($B$6:F6)+SUM($B$9:F9))&lt;0,999.99,SUM($B$10:F10)/(SUM($B$6:F6)+SUM($B$9:F9))),"")</f>
        <v>0.3284872280423329</v>
      </c>
      <c r="G12" s="82">
        <f>IF(G13="Yes",IF(SUM($B$10:G10)/(SUM($B$6:G6)+SUM($B$9:G9))&lt;0,999.99,SUM($B$10:G10)/(SUM($B$6:G6)+SUM($B$9:G9))),"")</f>
        <v>0.4052111652952672</v>
      </c>
      <c r="H12" s="82">
        <f>IF(H13="Yes",IF(SUM($B$10:H10)/(SUM($B$6:H6)+SUM($B$9:H9))&lt;0,999.99,SUM($B$10:H10)/(SUM($B$6:H6)+SUM($B$9:H9))),"")</f>
        <v>0.4863510116571772</v>
      </c>
      <c r="I12" s="82">
        <f>IF(I13="Yes",IF(SUM($B$10:I10)/(SUM($B$6:I6)+SUM($B$9:I9))&lt;0,999.99,SUM($B$10:I10)/(SUM($B$6:I6)+SUM($B$9:I9))),"")</f>
        <v>0.5627901563449675</v>
      </c>
      <c r="J12" s="82">
        <f>IF(J13="Yes",IF(SUM($B$10:J10)/(SUM($B$6:J6)+SUM($B$9:J9))&lt;0,999.99,SUM($B$10:J10)/(SUM($B$6:J6)+SUM($B$9:J9))),"")</f>
        <v>0.6009103865997965</v>
      </c>
      <c r="K12" s="82">
        <f>IF(K13="Yes",IF(SUM($B$10:K10)/(SUM($B$6:K6)+SUM($B$9:K9))&lt;0,999.99,SUM($B$10:K10)/(SUM($B$6:K6)+SUM($B$9:K9))),"")</f>
        <v>0.6353377421568197</v>
      </c>
      <c r="L12" s="82">
        <f>IF(L13="Yes",IF(SUM($B$10:L10)/(SUM($B$6:L6)+SUM($B$9:L9))&lt;0,999.99,SUM($B$10:L10)/(SUM($B$6:L6)+SUM($B$9:L9))),"")</f>
        <v>0.6665840491583456</v>
      </c>
      <c r="M12" s="82">
        <f>IF(M13="Yes",IF(SUM($B$10:M10)/(SUM($B$6:M6)+SUM($B$9:M9))&lt;0,999.99,SUM($B$10:M10)/(SUM($B$6:M6)+SUM($B$9:M9))),"")</f>
        <v>0.6950707262147499</v>
      </c>
      <c r="N12" s="82">
        <f>IF(N13="Yes",IF(SUM($B$10:N10)/(SUM($B$6:N6)+SUM($B$9:N9))&lt;0,999.99,SUM($B$10:N10)/(SUM($B$6:N6)+SUM($B$9:N9))),"")</f>
        <v>0.7211479018567873</v>
      </c>
      <c r="O12" s="82">
        <f>IF(O13="Yes",IF(SUM($B$10:O10)/(SUM($B$6:O6)+SUM($B$9:O9))&lt;0,999.99,SUM($B$10:O10)/(SUM($B$6:O6)+SUM($B$9:O9))),"")</f>
        <v>0.7451088777629122</v>
      </c>
      <c r="P12" s="82">
        <f>IF(P13="Yes",IF(SUM($B$10:P10)/(SUM($B$6:P6)+SUM($B$9:P9))&lt;0,999.99,SUM($B$10:P10)/(SUM($B$6:P6)+SUM($B$9:P9))),"")</f>
        <v>0.7672012081538633</v>
      </c>
      <c r="Q12" s="82">
        <f>IF(Q13="Yes",IF(SUM($B$10:Q10)/(SUM($B$6:Q6)+SUM($B$9:Q9))&lt;0,999.99,SUM($B$10:Q10)/(SUM($B$6:Q6)+SUM($B$9:Q9))),"")</f>
        <v>0.7876352843233069</v>
      </c>
      <c r="R12" s="82">
        <f>IF(R13="Yes",IF(SUM($B$10:R10)/(SUM($B$6:R6)+SUM($B$9:R9))&lt;0,999.99,SUM($B$10:R10)/(SUM($B$6:R6)+SUM($B$9:R9))),"")</f>
        <v>0.806591056023322</v>
      </c>
      <c r="S12" s="82">
        <f>IF(S13="Yes",IF(SUM($B$10:S10)/(SUM($B$6:S6)+SUM($B$9:S9))&lt;0,999.99,SUM($B$10:S10)/(SUM($B$6:S6)+SUM($B$9:S9))),"")</f>
        <v>0.8242233449983271</v>
      </c>
      <c r="T12" s="82">
        <f>IF(T13="Yes",IF(SUM($B$10:T10)/(SUM($B$6:T6)+SUM($B$9:T9))&lt;0,999.99,SUM($B$10:T10)/(SUM($B$6:T6)+SUM($B$9:T9))),"")</f>
        <v>0.8406660830967029</v>
      </c>
      <c r="U12" s="82">
        <f>IF(U13="Yes",IF(SUM($B$10:U10)/(SUM($B$6:U6)+SUM($B$9:U9))&lt;0,999.99,SUM($B$10:U10)/(SUM($B$6:U6)+SUM($B$9:U9))),"")</f>
        <v>0.8560357206081946</v>
      </c>
      <c r="V12" s="82">
        <f>IF(V13="Yes",IF(SUM($B$10:V10)/(SUM($B$6:V6)+SUM($B$9:V9))&lt;0,999.99,SUM($B$10:V10)/(SUM($B$6:V6)+SUM($B$9:V9))),"")</f>
        <v>0.8704339883747844</v>
      </c>
      <c r="W12" s="82">
        <f>IF(W13="Yes",IF(SUM($B$10:W10)/(SUM($B$6:W6)+SUM($B$9:W9))&lt;0,999.99,SUM($B$10:W10)/(SUM($B$6:W6)+SUM($B$9:W9))),"")</f>
        <v>0.8839501522428355</v>
      </c>
      <c r="X12" s="82">
        <f>IF(X13="Yes",IF(SUM($B$10:X10)/(SUM($B$6:X6)+SUM($B$9:X9))&lt;0,999.99,SUM($B$10:X10)/(SUM($B$6:X6)+SUM($B$9:X9))),"")</f>
        <v>0.8966628654763836</v>
      </c>
      <c r="Y12" s="82">
        <f>IF(Y13="Yes",IF(SUM($B$10:Y10)/(SUM($B$6:Y6)+SUM($B$9:Y9))&lt;0,999.99,SUM($B$10:Y10)/(SUM($B$6:Y6)+SUM($B$9:Y9))),"")</f>
        <v>0.9086417003625938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6843.75</v>
      </c>
      <c r="C24" s="36">
        <f>IFERROR(Calculations!$P14/12,"")</f>
        <v>6843.75</v>
      </c>
      <c r="D24" s="36">
        <f>IFERROR(Calculations!$P14/12,"")</f>
        <v>6843.75</v>
      </c>
      <c r="E24" s="36">
        <f>IFERROR(Calculations!$P14/12,"")</f>
        <v>6843.75</v>
      </c>
      <c r="F24" s="36">
        <f>IFERROR(Calculations!$P14/12,"")</f>
        <v>6843.75</v>
      </c>
      <c r="G24" s="36">
        <f>IFERROR(Calculations!$P14/12,"")</f>
        <v>6843.75</v>
      </c>
      <c r="H24" s="36">
        <f>IFERROR(Calculations!$P14/12,"")</f>
        <v>6843.75</v>
      </c>
      <c r="I24" s="36">
        <f>IFERROR(Calculations!$P14/12,"")</f>
        <v>6843.75</v>
      </c>
      <c r="J24" s="36">
        <f>IFERROR(Calculations!$P14/12,"")</f>
        <v>6843.75</v>
      </c>
      <c r="K24" s="36">
        <f>IFERROR(Calculations!$P14/12,"")</f>
        <v>6843.75</v>
      </c>
      <c r="L24" s="36">
        <f>IFERROR(Calculations!$P14/12,"")</f>
        <v>6843.75</v>
      </c>
      <c r="M24" s="36">
        <f>IFERROR(Calculations!$P14/12,"")</f>
        <v>6843.75</v>
      </c>
      <c r="N24" s="36">
        <f>IFERROR(Calculations!$P14/12,"")</f>
        <v>6843.75</v>
      </c>
      <c r="O24" s="36">
        <f>IFERROR(Calculations!$P14/12,"")</f>
        <v>6843.75</v>
      </c>
      <c r="P24" s="36">
        <f>IFERROR(Calculations!$P14/12,"")</f>
        <v>6843.75</v>
      </c>
      <c r="Q24" s="36">
        <f>IFERROR(Calculations!$P14/12,"")</f>
        <v>6843.75</v>
      </c>
      <c r="R24" s="36">
        <f>IFERROR(Calculations!$P14/12,"")</f>
        <v>6843.75</v>
      </c>
      <c r="S24" s="36">
        <f>IFERROR(Calculations!$P14/12,"")</f>
        <v>6843.75</v>
      </c>
      <c r="T24" s="36">
        <f>IFERROR(Calculations!$P14/12,"")</f>
        <v>6843.75</v>
      </c>
      <c r="U24" s="36">
        <f>IFERROR(Calculations!$P14/12,"")</f>
        <v>6843.75</v>
      </c>
      <c r="V24" s="36">
        <f>IFERROR(Calculations!$P14/12,"")</f>
        <v>6843.75</v>
      </c>
      <c r="W24" s="36">
        <f>IFERROR(Calculations!$P14/12,"")</f>
        <v>6843.75</v>
      </c>
      <c r="X24" s="36">
        <f>IFERROR(Calculations!$P14/12,"")</f>
        <v>6843.75</v>
      </c>
      <c r="Y24" s="36">
        <f>IFERROR(Calculations!$P14/12,"")</f>
        <v>6843.75</v>
      </c>
      <c r="Z24" s="36">
        <f>SUMIF($B$13:$Y$13,"Yes",B24:Y24)</f>
        <v>164250</v>
      </c>
      <c r="AA24" s="36">
        <f>SUM(B24:M24)</f>
        <v>82125</v>
      </c>
      <c r="AB24" s="46">
        <f>SUM(B24:Y24)</f>
        <v>164250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75000</v>
      </c>
      <c r="C25" s="36">
        <f>IFERROR(Calculations!$P15/12,"")</f>
        <v>75000</v>
      </c>
      <c r="D25" s="36">
        <f>IFERROR(Calculations!$P15/12,"")</f>
        <v>75000</v>
      </c>
      <c r="E25" s="36">
        <f>IFERROR(Calculations!$P15/12,"")</f>
        <v>75000</v>
      </c>
      <c r="F25" s="36">
        <f>IFERROR(Calculations!$P15/12,"")</f>
        <v>75000</v>
      </c>
      <c r="G25" s="36">
        <f>IFERROR(Calculations!$P15/12,"")</f>
        <v>75000</v>
      </c>
      <c r="H25" s="36">
        <f>IFERROR(Calculations!$P15/12,"")</f>
        <v>75000</v>
      </c>
      <c r="I25" s="36">
        <f>IFERROR(Calculations!$P15/12,"")</f>
        <v>75000</v>
      </c>
      <c r="J25" s="36">
        <f>IFERROR(Calculations!$P15/12,"")</f>
        <v>75000</v>
      </c>
      <c r="K25" s="36">
        <f>IFERROR(Calculations!$P15/12,"")</f>
        <v>75000</v>
      </c>
      <c r="L25" s="36">
        <f>IFERROR(Calculations!$P15/12,"")</f>
        <v>75000</v>
      </c>
      <c r="M25" s="36">
        <f>IFERROR(Calculations!$P15/12,"")</f>
        <v>75000</v>
      </c>
      <c r="N25" s="36">
        <f>IFERROR(Calculations!$P15/12,"")</f>
        <v>75000</v>
      </c>
      <c r="O25" s="36">
        <f>IFERROR(Calculations!$P15/12,"")</f>
        <v>75000</v>
      </c>
      <c r="P25" s="36">
        <f>IFERROR(Calculations!$P15/12,"")</f>
        <v>75000</v>
      </c>
      <c r="Q25" s="36">
        <f>IFERROR(Calculations!$P15/12,"")</f>
        <v>75000</v>
      </c>
      <c r="R25" s="36">
        <f>IFERROR(Calculations!$P15/12,"")</f>
        <v>75000</v>
      </c>
      <c r="S25" s="36">
        <f>IFERROR(Calculations!$P15/12,"")</f>
        <v>75000</v>
      </c>
      <c r="T25" s="36">
        <f>IFERROR(Calculations!$P15/12,"")</f>
        <v>75000</v>
      </c>
      <c r="U25" s="36">
        <f>IFERROR(Calculations!$P15/12,"")</f>
        <v>75000</v>
      </c>
      <c r="V25" s="36">
        <f>IFERROR(Calculations!$P15/12,"")</f>
        <v>75000</v>
      </c>
      <c r="W25" s="36">
        <f>IFERROR(Calculations!$P15/12,"")</f>
        <v>75000</v>
      </c>
      <c r="X25" s="36">
        <f>IFERROR(Calculations!$P15/12,"")</f>
        <v>75000</v>
      </c>
      <c r="Y25" s="36">
        <f>IFERROR(Calculations!$P15/12,"")</f>
        <v>75000</v>
      </c>
      <c r="Z25" s="36">
        <f>SUMIF($B$13:$Y$13,"Yes",B25:Y25)</f>
        <v>1800000</v>
      </c>
      <c r="AA25" s="36">
        <f>SUM(B25:M25)</f>
        <v>900000</v>
      </c>
      <c r="AB25" s="46">
        <f>SUM(B25:Y25)</f>
        <v>1800000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161843.75</v>
      </c>
      <c r="C30" s="19">
        <f>SUM(C18:C29)</f>
        <v>161843.75</v>
      </c>
      <c r="D30" s="19">
        <f>SUM(D18:D29)</f>
        <v>161843.75</v>
      </c>
      <c r="E30" s="19">
        <f>SUM(E18:E29)</f>
        <v>161843.75</v>
      </c>
      <c r="F30" s="19">
        <f>SUM(F18:F29)</f>
        <v>161843.75</v>
      </c>
      <c r="G30" s="19">
        <f>SUM(G18:G29)</f>
        <v>161843.75</v>
      </c>
      <c r="H30" s="19">
        <f>SUM(H18:H29)</f>
        <v>161843.75</v>
      </c>
      <c r="I30" s="19">
        <f>SUM(I18:I29)</f>
        <v>161843.75</v>
      </c>
      <c r="J30" s="19">
        <f>SUM(J18:J29)</f>
        <v>161843.75</v>
      </c>
      <c r="K30" s="19">
        <f>SUM(K18:K29)</f>
        <v>161843.75</v>
      </c>
      <c r="L30" s="19">
        <f>SUM(L18:L29)</f>
        <v>161843.75</v>
      </c>
      <c r="M30" s="19">
        <f>SUM(M18:M29)</f>
        <v>161843.75</v>
      </c>
      <c r="N30" s="19">
        <f>SUM(N18:N29)</f>
        <v>161843.75</v>
      </c>
      <c r="O30" s="19">
        <f>SUM(O18:O29)</f>
        <v>161843.75</v>
      </c>
      <c r="P30" s="19">
        <f>SUM(P18:P29)</f>
        <v>161843.75</v>
      </c>
      <c r="Q30" s="19">
        <f>SUM(Q18:Q29)</f>
        <v>161843.75</v>
      </c>
      <c r="R30" s="19">
        <f>SUM(R18:R29)</f>
        <v>161843.75</v>
      </c>
      <c r="S30" s="19">
        <f>SUM(S18:S29)</f>
        <v>161843.75</v>
      </c>
      <c r="T30" s="19">
        <f>SUM(T18:T29)</f>
        <v>161843.75</v>
      </c>
      <c r="U30" s="19">
        <f>SUM(U18:U29)</f>
        <v>161843.75</v>
      </c>
      <c r="V30" s="19">
        <f>SUM(V18:V29)</f>
        <v>161843.75</v>
      </c>
      <c r="W30" s="19">
        <f>SUM(W18:W29)</f>
        <v>161843.75</v>
      </c>
      <c r="X30" s="19">
        <f>SUM(X18:X29)</f>
        <v>161843.75</v>
      </c>
      <c r="Y30" s="19">
        <f>SUM(Y18:Y29)</f>
        <v>161843.75</v>
      </c>
      <c r="Z30" s="19">
        <f>SUMIF($B$13:$Y$13,"Yes",B30:Y30)</f>
        <v>3884250</v>
      </c>
      <c r="AA30" s="19">
        <f>SUM(B30:M30)</f>
        <v>1942125</v>
      </c>
      <c r="AB30" s="19">
        <f>SUM(B30:Y30)</f>
        <v>3884250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666.6666666666666</v>
      </c>
      <c r="C75" s="46">
        <f>SUM(Calculations!$R$14:$R$16)/12</f>
        <v>666.6666666666666</v>
      </c>
      <c r="D75" s="46">
        <f>SUM(Calculations!$R$14:$R$16)/12</f>
        <v>666.6666666666666</v>
      </c>
      <c r="E75" s="46">
        <f>SUM(Calculations!$R$14:$R$16)/12</f>
        <v>666.6666666666666</v>
      </c>
      <c r="F75" s="46">
        <f>SUM(Calculations!$R$14:$R$16)/12</f>
        <v>666.6666666666666</v>
      </c>
      <c r="G75" s="46">
        <f>SUM(Calculations!$R$14:$R$16)/12</f>
        <v>666.6666666666666</v>
      </c>
      <c r="H75" s="46">
        <f>SUM(Calculations!$R$14:$R$16)/12</f>
        <v>666.6666666666666</v>
      </c>
      <c r="I75" s="46">
        <f>SUM(Calculations!$R$14:$R$16)/12</f>
        <v>666.6666666666666</v>
      </c>
      <c r="J75" s="46">
        <f>SUM(Calculations!$R$14:$R$16)/12</f>
        <v>666.6666666666666</v>
      </c>
      <c r="K75" s="46">
        <f>SUM(Calculations!$R$14:$R$16)/12</f>
        <v>666.6666666666666</v>
      </c>
      <c r="L75" s="46">
        <f>SUM(Calculations!$R$14:$R$16)/12</f>
        <v>666.6666666666666</v>
      </c>
      <c r="M75" s="46">
        <f>SUM(Calculations!$R$14:$R$16)/12</f>
        <v>666.6666666666666</v>
      </c>
      <c r="N75" s="46">
        <f>SUM(Calculations!$R$14:$R$16)/12</f>
        <v>666.6666666666666</v>
      </c>
      <c r="O75" s="46">
        <f>SUM(Calculations!$R$14:$R$16)/12</f>
        <v>666.6666666666666</v>
      </c>
      <c r="P75" s="46">
        <f>SUM(Calculations!$R$14:$R$16)/12</f>
        <v>666.6666666666666</v>
      </c>
      <c r="Q75" s="46">
        <f>SUM(Calculations!$R$14:$R$16)/12</f>
        <v>666.6666666666666</v>
      </c>
      <c r="R75" s="46">
        <f>SUM(Calculations!$R$14:$R$16)/12</f>
        <v>666.6666666666666</v>
      </c>
      <c r="S75" s="46">
        <f>SUM(Calculations!$R$14:$R$16)/12</f>
        <v>666.6666666666666</v>
      </c>
      <c r="T75" s="46">
        <f>SUM(Calculations!$R$14:$R$16)/12</f>
        <v>666.6666666666666</v>
      </c>
      <c r="U75" s="46">
        <f>SUM(Calculations!$R$14:$R$16)/12</f>
        <v>666.6666666666666</v>
      </c>
      <c r="V75" s="46">
        <f>SUM(Calculations!$R$14:$R$16)/12</f>
        <v>666.6666666666666</v>
      </c>
      <c r="W75" s="46">
        <f>SUM(Calculations!$R$14:$R$16)/12</f>
        <v>666.6666666666666</v>
      </c>
      <c r="X75" s="46">
        <f>SUM(Calculations!$R$14:$R$16)/12</f>
        <v>666.6666666666666</v>
      </c>
      <c r="Y75" s="46">
        <f>SUM(Calculations!$R$14:$R$16)/12</f>
        <v>666.6666666666666</v>
      </c>
      <c r="Z75" s="46">
        <f>SUMIF($B$13:$Y$13,"Yes",B75:Y75)</f>
        <v>15999.99999999999</v>
      </c>
      <c r="AA75" s="46">
        <f>SUM(B75:M75)</f>
        <v>8000.000000000001</v>
      </c>
      <c r="AB75" s="46">
        <f>SUM(B75:Y75)</f>
        <v>15999.99999999999</v>
      </c>
    </row>
    <row r="76" spans="1:30">
      <c r="A76" s="16" t="s">
        <v>48</v>
      </c>
      <c r="B76" s="46">
        <f>SUM(Calculations!$S$14:$S$16)/12</f>
        <v>5666.666666666667</v>
      </c>
      <c r="C76" s="46">
        <f>SUM(Calculations!$S$14:$S$16)/12</f>
        <v>5666.666666666667</v>
      </c>
      <c r="D76" s="46">
        <f>SUM(Calculations!$S$14:$S$16)/12</f>
        <v>5666.666666666667</v>
      </c>
      <c r="E76" s="46">
        <f>SUM(Calculations!$S$14:$S$16)/12</f>
        <v>5666.666666666667</v>
      </c>
      <c r="F76" s="46">
        <f>SUM(Calculations!$S$14:$S$16)/12</f>
        <v>5666.666666666667</v>
      </c>
      <c r="G76" s="46">
        <f>SUM(Calculations!$S$14:$S$16)/12</f>
        <v>5666.666666666667</v>
      </c>
      <c r="H76" s="46">
        <f>SUM(Calculations!$S$14:$S$16)/12</f>
        <v>5666.666666666667</v>
      </c>
      <c r="I76" s="46">
        <f>SUM(Calculations!$S$14:$S$16)/12</f>
        <v>5666.666666666667</v>
      </c>
      <c r="J76" s="46">
        <f>SUM(Calculations!$S$14:$S$16)/12</f>
        <v>5666.666666666667</v>
      </c>
      <c r="K76" s="46">
        <f>SUM(Calculations!$S$14:$S$16)/12</f>
        <v>5666.666666666667</v>
      </c>
      <c r="L76" s="46">
        <f>SUM(Calculations!$S$14:$S$16)/12</f>
        <v>5666.666666666667</v>
      </c>
      <c r="M76" s="46">
        <f>SUM(Calculations!$S$14:$S$16)/12</f>
        <v>5666.666666666667</v>
      </c>
      <c r="N76" s="46">
        <f>SUM(Calculations!$S$14:$S$16)/12</f>
        <v>5666.666666666667</v>
      </c>
      <c r="O76" s="46">
        <f>SUM(Calculations!$S$14:$S$16)/12</f>
        <v>5666.666666666667</v>
      </c>
      <c r="P76" s="46">
        <f>SUM(Calculations!$S$14:$S$16)/12</f>
        <v>5666.666666666667</v>
      </c>
      <c r="Q76" s="46">
        <f>SUM(Calculations!$S$14:$S$16)/12</f>
        <v>5666.666666666667</v>
      </c>
      <c r="R76" s="46">
        <f>SUM(Calculations!$S$14:$S$16)/12</f>
        <v>5666.666666666667</v>
      </c>
      <c r="S76" s="46">
        <f>SUM(Calculations!$S$14:$S$16)/12</f>
        <v>5666.666666666667</v>
      </c>
      <c r="T76" s="46">
        <f>SUM(Calculations!$S$14:$S$16)/12</f>
        <v>5666.666666666667</v>
      </c>
      <c r="U76" s="46">
        <f>SUM(Calculations!$S$14:$S$16)/12</f>
        <v>5666.666666666667</v>
      </c>
      <c r="V76" s="46">
        <f>SUM(Calculations!$S$14:$S$16)/12</f>
        <v>5666.666666666667</v>
      </c>
      <c r="W76" s="46">
        <f>SUM(Calculations!$S$14:$S$16)/12</f>
        <v>5666.666666666667</v>
      </c>
      <c r="X76" s="46">
        <f>SUM(Calculations!$S$14:$S$16)/12</f>
        <v>5666.666666666667</v>
      </c>
      <c r="Y76" s="46">
        <f>SUM(Calculations!$S$14:$S$16)/12</f>
        <v>5666.666666666667</v>
      </c>
      <c r="Z76" s="46">
        <f>SUMIF($B$13:$Y$13,"Yes",B76:Y76)</f>
        <v>136000</v>
      </c>
      <c r="AA76" s="46">
        <f>SUM(B76:M76)</f>
        <v>67999.99999999999</v>
      </c>
      <c r="AB76" s="46">
        <f>SUM(B76:Y76)</f>
        <v>136000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960000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46204.16666666666</v>
      </c>
      <c r="C81" s="46">
        <f>(SUM($AA$18:$AA$29)-SUM($AA$36,$AA$42,$AA$48,$AA$54,$AA$60,$AA$66,$AA$72:$AA$79))*Parameters!$B$37/12</f>
        <v>46204.16666666666</v>
      </c>
      <c r="D81" s="46">
        <f>(SUM($AA$18:$AA$29)-SUM($AA$36,$AA$42,$AA$48,$AA$54,$AA$60,$AA$66,$AA$72:$AA$79))*Parameters!$B$37/12</f>
        <v>46204.16666666666</v>
      </c>
      <c r="E81" s="46">
        <f>(SUM($AA$18:$AA$29)-SUM($AA$36,$AA$42,$AA$48,$AA$54,$AA$60,$AA$66,$AA$72:$AA$79))*Parameters!$B$37/12</f>
        <v>46204.16666666666</v>
      </c>
      <c r="F81" s="46">
        <f>(SUM($AA$18:$AA$29)-SUM($AA$36,$AA$42,$AA$48,$AA$54,$AA$60,$AA$66,$AA$72:$AA$79))*Parameters!$B$37/12</f>
        <v>46204.16666666666</v>
      </c>
      <c r="G81" s="46">
        <f>(SUM($AA$18:$AA$29)-SUM($AA$36,$AA$42,$AA$48,$AA$54,$AA$60,$AA$66,$AA$72:$AA$79))*Parameters!$B$37/12</f>
        <v>46204.16666666666</v>
      </c>
      <c r="H81" s="46">
        <f>(SUM($AA$18:$AA$29)-SUM($AA$36,$AA$42,$AA$48,$AA$54,$AA$60,$AA$66,$AA$72:$AA$79))*Parameters!$B$37/12</f>
        <v>46204.16666666666</v>
      </c>
      <c r="I81" s="46">
        <f>(SUM($AA$18:$AA$29)-SUM($AA$36,$AA$42,$AA$48,$AA$54,$AA$60,$AA$66,$AA$72:$AA$79))*Parameters!$B$37/12</f>
        <v>46204.16666666666</v>
      </c>
      <c r="J81" s="46">
        <f>(SUM($AA$18:$AA$29)-SUM($AA$36,$AA$42,$AA$48,$AA$54,$AA$60,$AA$66,$AA$72:$AA$79))*Parameters!$B$37/12</f>
        <v>46204.16666666666</v>
      </c>
      <c r="K81" s="46">
        <f>(SUM($AA$18:$AA$29)-SUM($AA$36,$AA$42,$AA$48,$AA$54,$AA$60,$AA$66,$AA$72:$AA$79))*Parameters!$B$37/12</f>
        <v>46204.16666666666</v>
      </c>
      <c r="L81" s="46">
        <f>(SUM($AA$18:$AA$29)-SUM($AA$36,$AA$42,$AA$48,$AA$54,$AA$60,$AA$66,$AA$72:$AA$79))*Parameters!$B$37/12</f>
        <v>46204.16666666666</v>
      </c>
      <c r="M81" s="46">
        <f>(SUM($AA$18:$AA$29)-SUM($AA$36,$AA$42,$AA$48,$AA$54,$AA$60,$AA$66,$AA$72:$AA$79))*Parameters!$B$37/12</f>
        <v>46204.16666666666</v>
      </c>
      <c r="N81" s="46">
        <f>(SUM($AA$18:$AA$29)-SUM($AA$36,$AA$42,$AA$48,$AA$54,$AA$60,$AA$66,$AA$72:$AA$79))*Parameters!$B$37/12</f>
        <v>46204.16666666666</v>
      </c>
      <c r="O81" s="46">
        <f>(SUM($AA$18:$AA$29)-SUM($AA$36,$AA$42,$AA$48,$AA$54,$AA$60,$AA$66,$AA$72:$AA$79))*Parameters!$B$37/12</f>
        <v>46204.16666666666</v>
      </c>
      <c r="P81" s="46">
        <f>(SUM($AA$18:$AA$29)-SUM($AA$36,$AA$42,$AA$48,$AA$54,$AA$60,$AA$66,$AA$72:$AA$79))*Parameters!$B$37/12</f>
        <v>46204.16666666666</v>
      </c>
      <c r="Q81" s="46">
        <f>(SUM($AA$18:$AA$29)-SUM($AA$36,$AA$42,$AA$48,$AA$54,$AA$60,$AA$66,$AA$72:$AA$79))*Parameters!$B$37/12</f>
        <v>46204.16666666666</v>
      </c>
      <c r="R81" s="46">
        <f>(SUM($AA$18:$AA$29)-SUM($AA$36,$AA$42,$AA$48,$AA$54,$AA$60,$AA$66,$AA$72:$AA$79))*Parameters!$B$37/12</f>
        <v>46204.16666666666</v>
      </c>
      <c r="S81" s="46">
        <f>(SUM($AA$18:$AA$29)-SUM($AA$36,$AA$42,$AA$48,$AA$54,$AA$60,$AA$66,$AA$72:$AA$79))*Parameters!$B$37/12</f>
        <v>46204.16666666666</v>
      </c>
      <c r="T81" s="46">
        <f>(SUM($AA$18:$AA$29)-SUM($AA$36,$AA$42,$AA$48,$AA$54,$AA$60,$AA$66,$AA$72:$AA$79))*Parameters!$B$37/12</f>
        <v>46204.16666666666</v>
      </c>
      <c r="U81" s="46">
        <f>(SUM($AA$18:$AA$29)-SUM($AA$36,$AA$42,$AA$48,$AA$54,$AA$60,$AA$66,$AA$72:$AA$79))*Parameters!$B$37/12</f>
        <v>46204.16666666666</v>
      </c>
      <c r="V81" s="46">
        <f>(SUM($AA$18:$AA$29)-SUM($AA$36,$AA$42,$AA$48,$AA$54,$AA$60,$AA$66,$AA$72:$AA$79))*Parameters!$B$37/12</f>
        <v>46204.16666666666</v>
      </c>
      <c r="W81" s="46">
        <f>(SUM($AA$18:$AA$29)-SUM($AA$36,$AA$42,$AA$48,$AA$54,$AA$60,$AA$66,$AA$72:$AA$79))*Parameters!$B$37/12</f>
        <v>46204.16666666666</v>
      </c>
      <c r="X81" s="46">
        <f>(SUM($AA$18:$AA$29)-SUM($AA$36,$AA$42,$AA$48,$AA$54,$AA$60,$AA$66,$AA$72:$AA$79))*Parameters!$B$37/12</f>
        <v>46204.16666666666</v>
      </c>
      <c r="Y81" s="46">
        <f>(SUM($AA$18:$AA$29)-SUM($AA$36,$AA$42,$AA$48,$AA$54,$AA$60,$AA$66,$AA$72:$AA$79))*Parameters!$B$37/12</f>
        <v>46204.16666666666</v>
      </c>
      <c r="Z81" s="46">
        <f>SUMIF($B$13:$Y$13,"Yes",B81:Y81)</f>
        <v>1108900</v>
      </c>
      <c r="AA81" s="46">
        <f>SUM(B81:M81)</f>
        <v>554450.0000000001</v>
      </c>
      <c r="AB81" s="46">
        <f>SUM(B81:Y81)</f>
        <v>1108900</v>
      </c>
    </row>
    <row r="82" spans="1:30">
      <c r="A82" s="16" t="s">
        <v>52</v>
      </c>
      <c r="B82" s="46">
        <f>SUM(B83:B87)</f>
        <v>139026.8226332971</v>
      </c>
      <c r="C82" s="46">
        <f>SUM(C83:C87)</f>
        <v>106860.1559666304</v>
      </c>
      <c r="D82" s="46">
        <f>SUM(D83:D87)</f>
        <v>106860.1559666304</v>
      </c>
      <c r="E82" s="46">
        <f>SUM(E83:E87)</f>
        <v>106860.1559666304</v>
      </c>
      <c r="F82" s="46">
        <f>SUM(F83:F87)</f>
        <v>106860.1559666304</v>
      </c>
      <c r="G82" s="46">
        <f>SUM(G83:G87)</f>
        <v>106860.1559666304</v>
      </c>
      <c r="H82" s="46">
        <f>SUM(H83:H87)</f>
        <v>106860.1559666304</v>
      </c>
      <c r="I82" s="46">
        <f>SUM(I83:I87)</f>
        <v>85445.57490025392</v>
      </c>
      <c r="J82" s="46">
        <f>SUM(J83:J87)</f>
        <v>183.3333333333333</v>
      </c>
      <c r="K82" s="46">
        <f>SUM(K83:K87)</f>
        <v>183.3333333333333</v>
      </c>
      <c r="L82" s="46">
        <f>SUM(L83:L87)</f>
        <v>183.3333333333333</v>
      </c>
      <c r="M82" s="46">
        <f>SUM(M83:M87)</f>
        <v>183.3333333333333</v>
      </c>
      <c r="N82" s="46">
        <f>SUM(N83:N87)</f>
        <v>183.3333333333333</v>
      </c>
      <c r="O82" s="46">
        <f>SUM(O83:O87)</f>
        <v>183.3333333333333</v>
      </c>
      <c r="P82" s="46">
        <f>SUM(P83:P87)</f>
        <v>183.3333333333333</v>
      </c>
      <c r="Q82" s="46">
        <f>SUM(Q83:Q87)</f>
        <v>183.3333333333333</v>
      </c>
      <c r="R82" s="46">
        <f>SUM(R83:R87)</f>
        <v>183.3333333333333</v>
      </c>
      <c r="S82" s="46">
        <f>SUM(S83:S87)</f>
        <v>183.3333333333333</v>
      </c>
      <c r="T82" s="46">
        <f>SUM(T83:T87)</f>
        <v>183.3333333333333</v>
      </c>
      <c r="U82" s="46">
        <f>SUM(U83:U87)</f>
        <v>183.3333333333333</v>
      </c>
      <c r="V82" s="46">
        <f>SUM(V83:V87)</f>
        <v>183.3333333333333</v>
      </c>
      <c r="W82" s="46">
        <f>SUM(W83:W87)</f>
        <v>183.3333333333333</v>
      </c>
      <c r="X82" s="46">
        <f>SUM(X83:X87)</f>
        <v>183.3333333333333</v>
      </c>
      <c r="Y82" s="46">
        <f>SUM(Y83:Y87)</f>
        <v>183.3333333333333</v>
      </c>
      <c r="Z82" s="46">
        <f>SUMIF($B$13:$Y$13,"Yes",B82:Y82)</f>
        <v>868566.6666666673</v>
      </c>
      <c r="AA82" s="46">
        <f>SUM(B82:M82)</f>
        <v>866366.6666666669</v>
      </c>
      <c r="AB82" s="46">
        <f>SUM(B82:Y82)</f>
        <v>868566.6666666673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106676.8226332971</v>
      </c>
      <c r="C83" s="46">
        <f>IF(Calculations!$E23&gt;COUNT(Output!$B$35:C$35),Calculations!$B23,IF(Calculations!$E23=COUNT(Output!$B$35:C$35),Inputs!$B56-Calculations!$C23*(Calculations!$E23-1)+Calculations!$D23,0))</f>
        <v>106676.8226332971</v>
      </c>
      <c r="D83" s="46">
        <f>IF(Calculations!$E23&gt;COUNT(Output!$B$35:D$35),Calculations!$B23,IF(Calculations!$E23=COUNT(Output!$B$35:D$35),Inputs!$B56-Calculations!$C23*(Calculations!$E23-1)+Calculations!$D23,0))</f>
        <v>106676.8226332971</v>
      </c>
      <c r="E83" s="46">
        <f>IF(Calculations!$E23&gt;COUNT(Output!$B$35:E$35),Calculations!$B23,IF(Calculations!$E23=COUNT(Output!$B$35:E$35),Inputs!$B56-Calculations!$C23*(Calculations!$E23-1)+Calculations!$D23,0))</f>
        <v>106676.8226332971</v>
      </c>
      <c r="F83" s="46">
        <f>IF(Calculations!$E23&gt;COUNT(Output!$B$35:F$35),Calculations!$B23,IF(Calculations!$E23=COUNT(Output!$B$35:F$35),Inputs!$B56-Calculations!$C23*(Calculations!$E23-1)+Calculations!$D23,0))</f>
        <v>106676.8226332971</v>
      </c>
      <c r="G83" s="46">
        <f>IF(Calculations!$E23&gt;COUNT(Output!$B$35:G$35),Calculations!$B23,IF(Calculations!$E23=COUNT(Output!$B$35:G$35),Inputs!$B56-Calculations!$C23*(Calculations!$E23-1)+Calculations!$D23,0))</f>
        <v>106676.8226332971</v>
      </c>
      <c r="H83" s="46">
        <f>IF(Calculations!$E23&gt;COUNT(Output!$B$35:H$35),Calculations!$B23,IF(Calculations!$E23=COUNT(Output!$B$35:H$35),Inputs!$B56-Calculations!$C23*(Calculations!$E23-1)+Calculations!$D23,0))</f>
        <v>106676.8226332971</v>
      </c>
      <c r="I83" s="46">
        <f>IF(Calculations!$E23&gt;COUNT(Output!$B$35:I$35),Calculations!$B23,IF(Calculations!$E23=COUNT(Output!$B$35:I$35),Inputs!$B56-Calculations!$C23*(Calculations!$E23-1)+Calculations!$D23,0))</f>
        <v>85262.24156692059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832000</v>
      </c>
      <c r="AA83" s="46">
        <f>SUM(B83:M83)</f>
        <v>832000</v>
      </c>
      <c r="AB83" s="46">
        <f>SUM(B83:Y83)</f>
        <v>832000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32166.66666666666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32166.66666666666</v>
      </c>
      <c r="AA84" s="46">
        <f>SUM(B84:M84)</f>
        <v>32166.66666666666</v>
      </c>
      <c r="AB84" s="46">
        <f>SUM(B84:Y84)</f>
        <v>32166.66666666666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183.3333333333333</v>
      </c>
      <c r="C85" s="46">
        <f>IF(Calculations!$E25&gt;COUNT(Output!$B$35:C$35),Calculations!$B25,IF(Calculations!$E25=COUNT(Output!$B$35:C$35),Inputs!$B58-Calculations!$C25*(Calculations!$E25-1)+Calculations!$D25,0))</f>
        <v>183.3333333333333</v>
      </c>
      <c r="D85" s="46">
        <f>IF(Calculations!$E25&gt;COUNT(Output!$B$35:D$35),Calculations!$B25,IF(Calculations!$E25=COUNT(Output!$B$35:D$35),Inputs!$B58-Calculations!$C25*(Calculations!$E25-1)+Calculations!$D25,0))</f>
        <v>183.3333333333333</v>
      </c>
      <c r="E85" s="46">
        <f>IF(Calculations!$E25&gt;COUNT(Output!$B$35:E$35),Calculations!$B25,IF(Calculations!$E25=COUNT(Output!$B$35:E$35),Inputs!$B58-Calculations!$C25*(Calculations!$E25-1)+Calculations!$D25,0))</f>
        <v>183.3333333333333</v>
      </c>
      <c r="F85" s="46">
        <f>IF(Calculations!$E25&gt;COUNT(Output!$B$35:F$35),Calculations!$B25,IF(Calculations!$E25=COUNT(Output!$B$35:F$35),Inputs!$B58-Calculations!$C25*(Calculations!$E25-1)+Calculations!$D25,0))</f>
        <v>183.3333333333333</v>
      </c>
      <c r="G85" s="46">
        <f>IF(Calculations!$E25&gt;COUNT(Output!$B$35:G$35),Calculations!$B25,IF(Calculations!$E25=COUNT(Output!$B$35:G$35),Inputs!$B58-Calculations!$C25*(Calculations!$E25-1)+Calculations!$D25,0))</f>
        <v>183.3333333333333</v>
      </c>
      <c r="H85" s="46">
        <f>IF(Calculations!$E25&gt;COUNT(Output!$B$35:H$35),Calculations!$B25,IF(Calculations!$E25=COUNT(Output!$B$35:H$35),Inputs!$B58-Calculations!$C25*(Calculations!$E25-1)+Calculations!$D25,0))</f>
        <v>183.3333333333333</v>
      </c>
      <c r="I85" s="46">
        <f>IF(Calculations!$E25&gt;COUNT(Output!$B$35:I$35),Calculations!$B25,IF(Calculations!$E25=COUNT(Output!$B$35:I$35),Inputs!$B58-Calculations!$C25*(Calculations!$E25-1)+Calculations!$D25,0))</f>
        <v>183.3333333333333</v>
      </c>
      <c r="J85" s="46">
        <f>IF(Calculations!$E25&gt;COUNT(Output!$B$35:J$35),Calculations!$B25,IF(Calculations!$E25=COUNT(Output!$B$35:J$35),Inputs!$B58-Calculations!$C25*(Calculations!$E25-1)+Calculations!$D25,0))</f>
        <v>183.3333333333333</v>
      </c>
      <c r="K85" s="46">
        <f>IF(Calculations!$E25&gt;COUNT(Output!$B$35:K$35),Calculations!$B25,IF(Calculations!$E25=COUNT(Output!$B$35:K$35),Inputs!$B58-Calculations!$C25*(Calculations!$E25-1)+Calculations!$D25,0))</f>
        <v>183.3333333333333</v>
      </c>
      <c r="L85" s="46">
        <f>IF(Calculations!$E25&gt;COUNT(Output!$B$35:L$35),Calculations!$B25,IF(Calculations!$E25=COUNT(Output!$B$35:L$35),Inputs!$B58-Calculations!$C25*(Calculations!$E25-1)+Calculations!$D25,0))</f>
        <v>183.3333333333333</v>
      </c>
      <c r="M85" s="46">
        <f>IF(Calculations!$E25&gt;COUNT(Output!$B$35:M$35),Calculations!$B25,IF(Calculations!$E25=COUNT(Output!$B$35:M$35),Inputs!$B58-Calculations!$C25*(Calculations!$E25-1)+Calculations!$D25,0))</f>
        <v>183.3333333333333</v>
      </c>
      <c r="N85" s="46">
        <f>IF(Calculations!$E25&gt;COUNT(Output!$B$35:N$35),Calculations!$B25,IF(Calculations!$E25=COUNT(Output!$B$35:N$35),Inputs!$B58-Calculations!$C25*(Calculations!$E25-1)+Calculations!$D25,0))</f>
        <v>183.3333333333333</v>
      </c>
      <c r="O85" s="46">
        <f>IF(Calculations!$E25&gt;COUNT(Output!$B$35:O$35),Calculations!$B25,IF(Calculations!$E25=COUNT(Output!$B$35:O$35),Inputs!$B58-Calculations!$C25*(Calculations!$E25-1)+Calculations!$D25,0))</f>
        <v>183.3333333333333</v>
      </c>
      <c r="P85" s="46">
        <f>IF(Calculations!$E25&gt;COUNT(Output!$B$35:P$35),Calculations!$B25,IF(Calculations!$E25=COUNT(Output!$B$35:P$35),Inputs!$B58-Calculations!$C25*(Calculations!$E25-1)+Calculations!$D25,0))</f>
        <v>183.3333333333333</v>
      </c>
      <c r="Q85" s="46">
        <f>IF(Calculations!$E25&gt;COUNT(Output!$B$35:Q$35),Calculations!$B25,IF(Calculations!$E25=COUNT(Output!$B$35:Q$35),Inputs!$B58-Calculations!$C25*(Calculations!$E25-1)+Calculations!$D25,0))</f>
        <v>183.3333333333333</v>
      </c>
      <c r="R85" s="46">
        <f>IF(Calculations!$E25&gt;COUNT(Output!$B$35:R$35),Calculations!$B25,IF(Calculations!$E25=COUNT(Output!$B$35:R$35),Inputs!$B58-Calculations!$C25*(Calculations!$E25-1)+Calculations!$D25,0))</f>
        <v>183.3333333333333</v>
      </c>
      <c r="S85" s="46">
        <f>IF(Calculations!$E25&gt;COUNT(Output!$B$35:S$35),Calculations!$B25,IF(Calculations!$E25=COUNT(Output!$B$35:S$35),Inputs!$B58-Calculations!$C25*(Calculations!$E25-1)+Calculations!$D25,0))</f>
        <v>183.3333333333333</v>
      </c>
      <c r="T85" s="46">
        <f>IF(Calculations!$E25&gt;COUNT(Output!$B$35:T$35),Calculations!$B25,IF(Calculations!$E25=COUNT(Output!$B$35:T$35),Inputs!$B58-Calculations!$C25*(Calculations!$E25-1)+Calculations!$D25,0))</f>
        <v>183.3333333333333</v>
      </c>
      <c r="U85" s="46">
        <f>IF(Calculations!$E25&gt;COUNT(Output!$B$35:U$35),Calculations!$B25,IF(Calculations!$E25=COUNT(Output!$B$35:U$35),Inputs!$B58-Calculations!$C25*(Calculations!$E25-1)+Calculations!$D25,0))</f>
        <v>183.3333333333333</v>
      </c>
      <c r="V85" s="46">
        <f>IF(Calculations!$E25&gt;COUNT(Output!$B$35:V$35),Calculations!$B25,IF(Calculations!$E25=COUNT(Output!$B$35:V$35),Inputs!$B58-Calculations!$C25*(Calculations!$E25-1)+Calculations!$D25,0))</f>
        <v>183.3333333333333</v>
      </c>
      <c r="W85" s="46">
        <f>IF(Calculations!$E25&gt;COUNT(Output!$B$35:W$35),Calculations!$B25,IF(Calculations!$E25=COUNT(Output!$B$35:W$35),Inputs!$B58-Calculations!$C25*(Calculations!$E25-1)+Calculations!$D25,0))</f>
        <v>183.3333333333333</v>
      </c>
      <c r="X85" s="46">
        <f>IF(Calculations!$E25&gt;COUNT(Output!$B$35:X$35),Calculations!$B25,IF(Calculations!$E25=COUNT(Output!$B$35:X$35),Inputs!$B58-Calculations!$C25*(Calculations!$E25-1)+Calculations!$D25,0))</f>
        <v>183.3333333333333</v>
      </c>
      <c r="Y85" s="46">
        <f>IF(Calculations!$E25&gt;COUNT(Output!$B$35:Y$35),Calculations!$B25,IF(Calculations!$E25=COUNT(Output!$B$35:Y$35),Inputs!$B58-Calculations!$C25*(Calculations!$E25-1)+Calculations!$D25,0))</f>
        <v>183.3333333333333</v>
      </c>
      <c r="Z85" s="46">
        <f>SUMIF($B$13:$Y$13,"Yes",B85:Y85)</f>
        <v>4400.000000000001</v>
      </c>
      <c r="AA85" s="46">
        <f>SUM(B85:M85)</f>
        <v>2200</v>
      </c>
      <c r="AB85" s="46">
        <f>SUM(B85:Y85)</f>
        <v>4400.000000000001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231564.3226332971</v>
      </c>
      <c r="C88" s="19">
        <f>SUM(C72:C82,C66,C60,C54,C48,C42,C36)</f>
        <v>199397.6559666304</v>
      </c>
      <c r="D88" s="19">
        <f>SUM(D72:D82,D66,D60,D54,D48,D42,D36)</f>
        <v>199397.6559666304</v>
      </c>
      <c r="E88" s="19">
        <f>SUM(E72:E82,E66,E60,E54,E48,E42,E36)</f>
        <v>199397.6559666304</v>
      </c>
      <c r="F88" s="19">
        <f>SUM(F72:F82,F66,F60,F54,F48,F42,F36)</f>
        <v>199397.6559666304</v>
      </c>
      <c r="G88" s="19">
        <f>SUM(G72:G82,G66,G60,G54,G48,G42,G36)</f>
        <v>199397.6559666304</v>
      </c>
      <c r="H88" s="19">
        <f>SUM(H72:H82,H66,H60,H54,H48,H42,H36)</f>
        <v>199397.6559666304</v>
      </c>
      <c r="I88" s="19">
        <f>SUM(I72:I82,I66,I60,I54,I48,I42,I36)</f>
        <v>177983.0749002539</v>
      </c>
      <c r="J88" s="19">
        <f>SUM(J72:J82,J66,J60,J54,J48,J42,J36)</f>
        <v>92720.83333333333</v>
      </c>
      <c r="K88" s="19">
        <f>SUM(K72:K82,K66,K60,K54,K48,K42,K36)</f>
        <v>92720.83333333333</v>
      </c>
      <c r="L88" s="19">
        <f>SUM(L72:L82,L66,L60,L54,L48,L42,L36)</f>
        <v>92720.83333333333</v>
      </c>
      <c r="M88" s="19">
        <f>SUM(M72:M82,M66,M60,M54,M48,M42,M36)</f>
        <v>92720.83333333333</v>
      </c>
      <c r="N88" s="19">
        <f>SUM(N72:N82,N66,N60,N54,N48,N42,N36)</f>
        <v>92720.83333333333</v>
      </c>
      <c r="O88" s="19">
        <f>SUM(O72:O82,O66,O60,O54,O48,O42,O36)</f>
        <v>92720.83333333333</v>
      </c>
      <c r="P88" s="19">
        <f>SUM(P72:P82,P66,P60,P54,P48,P42,P36)</f>
        <v>92720.83333333333</v>
      </c>
      <c r="Q88" s="19">
        <f>SUM(Q72:Q82,Q66,Q60,Q54,Q48,Q42,Q36)</f>
        <v>92720.83333333333</v>
      </c>
      <c r="R88" s="19">
        <f>SUM(R72:R82,R66,R60,R54,R48,R42,R36)</f>
        <v>92720.83333333333</v>
      </c>
      <c r="S88" s="19">
        <f>SUM(S72:S82,S66,S60,S54,S48,S42,S36)</f>
        <v>92720.83333333333</v>
      </c>
      <c r="T88" s="19">
        <f>SUM(T72:T82,T66,T60,T54,T48,T42,T36)</f>
        <v>92720.83333333333</v>
      </c>
      <c r="U88" s="19">
        <f>SUM(U72:U82,U66,U60,U54,U48,U42,U36)</f>
        <v>92720.83333333333</v>
      </c>
      <c r="V88" s="19">
        <f>SUM(V72:V82,V66,V60,V54,V48,V42,V36)</f>
        <v>92720.83333333333</v>
      </c>
      <c r="W88" s="19">
        <f>SUM(W72:W82,W66,W60,W54,W48,W42,W36)</f>
        <v>92720.83333333333</v>
      </c>
      <c r="X88" s="19">
        <f>SUM(X72:X82,X66,X60,X54,X48,X42,X36)</f>
        <v>92720.83333333333</v>
      </c>
      <c r="Y88" s="19">
        <f>SUM(Y72:Y82,Y66,Y60,Y54,Y48,Y42,Y36)</f>
        <v>92720.83333333333</v>
      </c>
      <c r="Z88" s="19">
        <f>SUMIF($B$13:$Y$13,"Yes",B88:Y88)</f>
        <v>3089466.666666668</v>
      </c>
      <c r="AA88" s="19">
        <f>SUM(B88:M88)</f>
        <v>1976816.666666667</v>
      </c>
      <c r="AB88" s="19">
        <f>SUM(B88:Y88)</f>
        <v>3089466.666666668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213843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8963843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100000</v>
      </c>
    </row>
    <row r="105" spans="1:30">
      <c r="A105" t="s">
        <v>70</v>
      </c>
      <c r="B105" s="36">
        <f>SUM(Inputs!B56:B60)</f>
        <v>513000</v>
      </c>
    </row>
    <row r="106" spans="1:30" customHeight="1" ht="15.75">
      <c r="A106" s="18" t="s">
        <v>71</v>
      </c>
      <c r="B106" s="37">
        <f>Calculations!G35</f>
        <v>1600000</v>
      </c>
    </row>
    <row r="107" spans="1:30" customHeight="1" ht="15.75">
      <c r="A107" s="1" t="s">
        <v>72</v>
      </c>
      <c r="B107" s="19">
        <f>SUM(B104:B106)</f>
        <v>2213000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1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25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30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80000</v>
      </c>
    </row>
    <row r="31" spans="1:48">
      <c r="A31" s="5" t="s">
        <v>112</v>
      </c>
      <c r="B31" s="158">
        <v>40000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3500000</v>
      </c>
    </row>
    <row r="46" spans="1:48" customHeight="1" ht="30">
      <c r="A46" s="57" t="s">
        <v>126</v>
      </c>
      <c r="B46" s="161">
        <v>1000000</v>
      </c>
    </row>
    <row r="47" spans="1:48" customHeight="1" ht="30">
      <c r="A47" s="57" t="s">
        <v>127</v>
      </c>
      <c r="B47" s="161">
        <v>150000</v>
      </c>
    </row>
    <row r="48" spans="1:48" customHeight="1" ht="30">
      <c r="A48" s="57" t="s">
        <v>128</v>
      </c>
      <c r="B48" s="161">
        <v>3000000</v>
      </c>
    </row>
    <row r="49" spans="1:48" customHeight="1" ht="30">
      <c r="A49" s="57" t="s">
        <v>129</v>
      </c>
      <c r="B49" s="161">
        <v>213843</v>
      </c>
    </row>
    <row r="50" spans="1:48">
      <c r="A50" s="43"/>
      <c r="B50" s="36"/>
    </row>
    <row r="51" spans="1:48">
      <c r="A51" s="58" t="s">
        <v>130</v>
      </c>
      <c r="B51" s="161">
        <v>100000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2400000</v>
      </c>
      <c r="B56" s="159">
        <v>480000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500000</v>
      </c>
      <c r="B57" s="157">
        <v>23000</v>
      </c>
      <c r="C57" s="164" t="s">
        <v>141</v>
      </c>
      <c r="D57" s="165" t="s">
        <v>142</v>
      </c>
      <c r="E57" s="165" t="s">
        <v>103</v>
      </c>
      <c r="F57" s="165" t="s">
        <v>143</v>
      </c>
    </row>
    <row r="58" spans="1:48">
      <c r="A58" s="157">
        <v>10000</v>
      </c>
      <c r="B58" s="157">
        <v>10000</v>
      </c>
      <c r="C58" s="164" t="s">
        <v>144</v>
      </c>
      <c r="D58" s="165" t="s">
        <v>145</v>
      </c>
      <c r="E58" s="165" t="s">
        <v>146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149</v>
      </c>
      <c r="C65" s="10" t="s">
        <v>150</v>
      </c>
    </row>
    <row r="66" spans="1:48">
      <c r="A66" s="142" t="s">
        <v>151</v>
      </c>
      <c r="B66" s="159">
        <v>635000</v>
      </c>
      <c r="C66" s="163">
        <v>544000</v>
      </c>
      <c r="D66" s="49">
        <f>INDEX(Parameters!$D$79:$D$90,MATCH(Inputs!A66,Parameters!$C$79:$C$90,0))</f>
        <v>4</v>
      </c>
    </row>
    <row r="67" spans="1:48">
      <c r="A67" s="143" t="s">
        <v>152</v>
      </c>
      <c r="B67" s="157">
        <v>1769000</v>
      </c>
      <c r="C67" s="165">
        <v>1370000</v>
      </c>
      <c r="D67" s="49">
        <f>INDEX(Parameters!$D$79:$D$90,MATCH(Inputs!A67,Parameters!$C$79:$C$90,0))</f>
        <v>3</v>
      </c>
    </row>
    <row r="68" spans="1:48">
      <c r="A68" s="143" t="s">
        <v>153</v>
      </c>
      <c r="B68" s="157">
        <v>1564000</v>
      </c>
      <c r="C68" s="165">
        <v>1561000</v>
      </c>
      <c r="D68" s="49">
        <f>INDEX(Parameters!$D$79:$D$90,MATCH(Inputs!A68,Parameters!$C$79:$C$90,0))</f>
        <v>2</v>
      </c>
    </row>
    <row r="69" spans="1:48">
      <c r="A69" s="143" t="s">
        <v>154</v>
      </c>
      <c r="B69" s="157">
        <v>1476000</v>
      </c>
      <c r="C69" s="165">
        <v>1165000</v>
      </c>
      <c r="D69" s="49">
        <f>INDEX(Parameters!$D$79:$D$90,MATCH(Inputs!A69,Parameters!$C$79:$C$90,0))</f>
        <v>1</v>
      </c>
    </row>
    <row r="70" spans="1:48">
      <c r="A70" s="143" t="s">
        <v>155</v>
      </c>
      <c r="B70" s="157">
        <v>1061000</v>
      </c>
      <c r="C70" s="165">
        <v>1058000</v>
      </c>
      <c r="D70" s="49">
        <f>INDEX(Parameters!$D$79:$D$90,MATCH(Inputs!A70,Parameters!$C$79:$C$90,0))</f>
        <v>12</v>
      </c>
    </row>
    <row r="71" spans="1:48">
      <c r="A71" s="144" t="s">
        <v>156</v>
      </c>
      <c r="B71" s="158">
        <v>1395000</v>
      </c>
      <c r="C71" s="167">
        <v>1235000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1600000</v>
      </c>
    </row>
    <row r="82" spans="1:48">
      <c r="A82" t="s">
        <v>166</v>
      </c>
      <c r="B82" s="161">
        <v>18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82125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60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900000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50000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2400000</v>
      </c>
      <c r="B23" s="75">
        <f>SUM(C23:D23)</f>
        <v>106676.8226332971</v>
      </c>
      <c r="C23" s="75">
        <f>IF(Inputs!B56&gt;0,(Inputs!A56-Inputs!B56)/(DATE(YEAR(Inputs!$B$76),MONTH(Inputs!$B$76),DAY(Inputs!$B$76))-DATE(YEAR(Inputs!C56),MONTH(Inputs!C56),DAY(Inputs!C56)))*30,0)</f>
        <v>62676.82263329706</v>
      </c>
      <c r="D23" s="75">
        <f>IF(Inputs!B56&gt;0,Inputs!A56*0.22/12,0)</f>
        <v>44000</v>
      </c>
      <c r="E23" s="75">
        <f>IFERROR(ROUNDUP(Inputs!B56/C23,0),0)</f>
        <v>8</v>
      </c>
    </row>
    <row r="24" spans="1:52">
      <c r="A24" s="46">
        <f>Inputs!A57</f>
        <v>500000</v>
      </c>
      <c r="B24" s="46">
        <f>SUM(C24:D24)</f>
        <v>48158.49227974568</v>
      </c>
      <c r="C24" s="46">
        <f>IF(Inputs!B57&gt;0,(Inputs!A57-Inputs!B57)/(DATE(YEAR(Inputs!$B$76),MONTH(Inputs!$B$76),DAY(Inputs!$B$76))-DATE(YEAR(Inputs!C57),MONTH(Inputs!C57),DAY(Inputs!C57)))*30,0)</f>
        <v>38991.82561307902</v>
      </c>
      <c r="D24" s="46">
        <f>IF(Inputs!B57&gt;0,Inputs!A57*0.22/12,0)</f>
        <v>9166.666666666666</v>
      </c>
      <c r="E24" s="46">
        <f>IFERROR(ROUNDUP(Inputs!B57/B24,0),0)</f>
        <v>1</v>
      </c>
      <c r="H24" s="1"/>
    </row>
    <row r="25" spans="1:52">
      <c r="A25" s="46">
        <f>Inputs!A58</f>
        <v>10000</v>
      </c>
      <c r="B25" s="46">
        <f>SUM(C25:D25)</f>
        <v>183.3333333333333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183.3333333333333</v>
      </c>
      <c r="E25" s="46">
        <f>IFERROR(ROUNDUP(Inputs!B58/B25,0),0)</f>
        <v>55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42844</v>
      </c>
      <c r="C33" s="27">
        <f>IF(B33&lt;&gt;"",IF(COUNT($A$33:A33)&lt;=$G$39,0,$G$41)+IF(COUNT($A$33:A33)&lt;=$G$40,0,$G$42),0)</f>
        <v>90666.66666666667</v>
      </c>
      <c r="D33" s="170">
        <f>IFERROR(DATE(YEAR(B33),MONTH(B33),1)," ")</f>
        <v>42826</v>
      </c>
      <c r="F33" t="s">
        <v>162</v>
      </c>
      <c r="G33" s="128">
        <f>IF(Inputs!B79="","",DATE(YEAR(Inputs!B79),MONTH(Inputs!B79),DAY(Inputs!B79)))</f>
        <v>42843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42874</v>
      </c>
      <c r="C34" s="27">
        <f>IF(B34&lt;&gt;"",IF(COUNT($A$33:A34)&lt;=$G$39,0,$G$41)+IF(COUNT($A$33:A34)&lt;=$G$40,0,$G$42),0)</f>
        <v>90666.66666666667</v>
      </c>
      <c r="D34" s="170">
        <f>IFERROR(DATE(YEAR(B34),MONTH(B34),1)," ")</f>
        <v>42856</v>
      </c>
      <c r="F34" t="s">
        <v>163</v>
      </c>
      <c r="G34" s="128">
        <f>IF(Inputs!B80="","",DATE(YEAR(Inputs!B80),MONTH(Inputs!B80),DAY(Inputs!B80)))</f>
        <v>42844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42905</v>
      </c>
      <c r="C35" s="27">
        <f>IF(B35&lt;&gt;"",IF(COUNT($A$33:A35)&lt;=$G$39,0,$G$41)+IF(COUNT($A$33:A35)&lt;=$G$40,0,$G$42),0)</f>
        <v>90666.66666666667</v>
      </c>
      <c r="D35" s="170">
        <f>IFERROR(DATE(YEAR(B35),MONTH(B35),1)," ")</f>
        <v>42887</v>
      </c>
      <c r="F35" t="s">
        <v>165</v>
      </c>
      <c r="G35" s="27">
        <f>Inputs!B81</f>
        <v>1600000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42935</v>
      </c>
      <c r="C36" s="27">
        <f>IF(B36&lt;&gt;"",IF(COUNT($A$33:A36)&lt;=$G$39,0,$G$41)+IF(COUNT($A$33:A36)&lt;=$G$40,0,$G$42),0)</f>
        <v>90666.66666666667</v>
      </c>
      <c r="D36" s="170">
        <f>IFERROR(DATE(YEAR(B36),MONTH(B36),1)," ")</f>
        <v>42917</v>
      </c>
      <c r="F36" t="s">
        <v>166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42966</v>
      </c>
      <c r="C37" s="27">
        <f>IF(B37&lt;&gt;"",IF(COUNT($A$33:A37)&lt;=$G$39,0,$G$41)+IF(COUNT($A$33:A37)&lt;=$G$40,0,$G$42),0)</f>
        <v>90666.66666666667</v>
      </c>
      <c r="D37" s="170">
        <f>IFERROR(DATE(YEAR(B37),MONTH(B37),1)," ")</f>
        <v>42948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42997</v>
      </c>
      <c r="C38" s="27">
        <f>IF(B38&lt;&gt;"",IF(COUNT($A$33:A38)&lt;=$G$39,0,$G$41)+IF(COUNT($A$33:A38)&lt;=$G$40,0,$G$42),0)</f>
        <v>90666.66666666667</v>
      </c>
      <c r="D38" s="170">
        <f>IFERROR(DATE(YEAR(B38),MONTH(B38),1)," ")</f>
        <v>42979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43027</v>
      </c>
      <c r="C39" s="27">
        <f>IF(B39&lt;&gt;"",IF(COUNT($A$33:A39)&lt;=$G$39,0,$G$41)+IF(COUNT($A$33:A39)&lt;=$G$40,0,$G$42),0)</f>
        <v>90666.66666666667</v>
      </c>
      <c r="D39" s="170">
        <f>IFERROR(DATE(YEAR(B39),MONTH(B39),1)," ")</f>
        <v>43009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43058</v>
      </c>
      <c r="C40" s="27">
        <f>IF(B40&lt;&gt;"",IF(COUNT($A$33:A40)&lt;=$G$39,0,$G$41)+IF(COUNT($A$33:A40)&lt;=$G$40,0,$G$42),0)</f>
        <v>90666.66666666667</v>
      </c>
      <c r="D40" s="170">
        <f>IFERROR(DATE(YEAR(B40),MONTH(B40),1)," ")</f>
        <v>43040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43088</v>
      </c>
      <c r="C41" s="27">
        <f>IF(B41&lt;&gt;"",IF(COUNT($A$33:A41)&lt;=$G$39,0,$G$41)+IF(COUNT($A$33:A41)&lt;=$G$40,0,$G$42),0)</f>
        <v>90666.66666666667</v>
      </c>
      <c r="D41" s="170">
        <f>IFERROR(DATE(YEAR(B41),MONTH(B41),1)," ")</f>
        <v>43070</v>
      </c>
      <c r="F41" t="s">
        <v>229</v>
      </c>
      <c r="G41" s="73">
        <f>IFERROR(G35/(G38-G39),"")</f>
        <v>66666.66666666667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43119</v>
      </c>
      <c r="C42" s="27">
        <f>IF(B42&lt;&gt;"",IF(COUNT($A$33:A42)&lt;=$G$39,0,$G$41)+IF(COUNT($A$33:A42)&lt;=$G$40,0,$G$42),0)</f>
        <v>90666.66666666667</v>
      </c>
      <c r="D42" s="170">
        <f>IFERROR(DATE(YEAR(B42),MONTH(B42),1)," ")</f>
        <v>43101</v>
      </c>
      <c r="F42" t="s">
        <v>230</v>
      </c>
      <c r="G42" s="73">
        <f>IFERROR(G35*G36*IF(G37="Monthly",G38/12,IF(G37="Fortnightly",G38/(365/14),G38/(365/28)))/(G38-G40),"")</f>
        <v>24000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43150</v>
      </c>
      <c r="C43" s="27">
        <f>IF(B43&lt;&gt;"",IF(COUNT($A$33:A43)&lt;=$G$39,0,$G$41)+IF(COUNT($A$33:A43)&lt;=$G$40,0,$G$42),0)</f>
        <v>90666.66666666667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43178</v>
      </c>
      <c r="C44" s="27">
        <f>IF(B44&lt;&gt;"",IF(COUNT($A$33:A44)&lt;=$G$39,0,$G$41)+IF(COUNT($A$33:A44)&lt;=$G$40,0,$G$42),0)</f>
        <v>90666.66666666667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43209</v>
      </c>
      <c r="C45" s="27">
        <f>IF(B45&lt;&gt;"",IF(COUNT($A$33:A45)&lt;=$G$39,0,$G$41)+IF(COUNT($A$33:A45)&lt;=$G$40,0,$G$42),0)</f>
        <v>90666.66666666667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43239</v>
      </c>
      <c r="C46" s="27">
        <f>IF(B46&lt;&gt;"",IF(COUNT($A$33:A46)&lt;=$G$39,0,$G$41)+IF(COUNT($A$33:A46)&lt;=$G$40,0,$G$42),0)</f>
        <v>90666.66666666667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43270</v>
      </c>
      <c r="C47" s="27">
        <f>IF(B47&lt;&gt;"",IF(COUNT($A$33:A47)&lt;=$G$39,0,$G$41)+IF(COUNT($A$33:A47)&lt;=$G$40,0,$G$42),0)</f>
        <v>90666.66666666667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43300</v>
      </c>
      <c r="C48" s="27">
        <f>IF(B48&lt;&gt;"",IF(COUNT($A$33:A48)&lt;=$G$39,0,$G$41)+IF(COUNT($A$33:A48)&lt;=$G$40,0,$G$42),0)</f>
        <v>90666.66666666667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43331</v>
      </c>
      <c r="C49" s="27">
        <f>IF(B49&lt;&gt;"",IF(COUNT($A$33:A49)&lt;=$G$39,0,$G$41)+IF(COUNT($A$33:A49)&lt;=$G$40,0,$G$42),0)</f>
        <v>90666.66666666667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43362</v>
      </c>
      <c r="C50" s="27">
        <f>IF(B50&lt;&gt;"",IF(COUNT($A$33:A50)&lt;=$G$39,0,$G$41)+IF(COUNT($A$33:A50)&lt;=$G$40,0,$G$42),0)</f>
        <v>90666.66666666667</v>
      </c>
      <c r="D50" s="170">
        <f>IFERROR(DATE(YEAR(B50),MONTH(B50),1)," ")</f>
        <v>43344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43392</v>
      </c>
      <c r="C51" s="27">
        <f>IF(B51&lt;&gt;"",IF(COUNT($A$33:A51)&lt;=$G$39,0,$G$41)+IF(COUNT($A$33:A51)&lt;=$G$40,0,$G$42),0)</f>
        <v>90666.66666666667</v>
      </c>
      <c r="D51" s="170">
        <f>IFERROR(DATE(YEAR(B51),MONTH(B51),1)," ")</f>
        <v>43374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43423</v>
      </c>
      <c r="C52" s="27">
        <f>IF(B52&lt;&gt;"",IF(COUNT($A$33:A52)&lt;=$G$39,0,$G$41)+IF(COUNT($A$33:A52)&lt;=$G$40,0,$G$42),0)</f>
        <v>90666.66666666667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43453</v>
      </c>
      <c r="C53" s="27">
        <f>IF(B53&lt;&gt;"",IF(COUNT($A$33:A53)&lt;=$G$39,0,$G$41)+IF(COUNT($A$33:A53)&lt;=$G$40,0,$G$42),0)</f>
        <v>90666.66666666667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43484</v>
      </c>
      <c r="C54" s="27">
        <f>IF(B54&lt;&gt;"",IF(COUNT($A$33:A54)&lt;=$G$39,0,$G$41)+IF(COUNT($A$33:A54)&lt;=$G$40,0,$G$42),0)</f>
        <v>90666.66666666667</v>
      </c>
      <c r="D54" s="170">
        <f>IFERROR(DATE(YEAR(B54),MONTH(B54),1)," ")</f>
        <v>43466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43515</v>
      </c>
      <c r="C55" s="27">
        <f>IF(B55&lt;&gt;"",IF(COUNT($A$33:A55)&lt;=$G$39,0,$G$41)+IF(COUNT($A$33:A55)&lt;=$G$40,0,$G$42),0)</f>
        <v>90666.66666666667</v>
      </c>
      <c r="D55" s="170">
        <f>IFERROR(DATE(YEAR(B55),MONTH(B55),1)," ")</f>
        <v>43497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43543</v>
      </c>
      <c r="C56" s="27">
        <f>IF(B56&lt;&gt;"",IF(COUNT($A$33:A56)&lt;=$G$39,0,$G$41)+IF(COUNT($A$33:A56)&lt;=$G$40,0,$G$42),0)</f>
        <v>90666.66666666667</v>
      </c>
      <c r="D56" s="170">
        <f>IFERROR(DATE(YEAR(B56),MONTH(B56),1)," ")</f>
        <v>43525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203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300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90</v>
      </c>
      <c r="B41" s="191" t="s">
        <v>146</v>
      </c>
      <c r="C41" s="191" t="s">
        <v>103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317</v>
      </c>
      <c r="I52" s="12" t="s">
        <v>123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146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146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146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146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146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146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146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103</v>
      </c>
      <c r="B77" s="176">
        <v>0</v>
      </c>
      <c r="C77" s="12" t="s">
        <v>351</v>
      </c>
      <c r="E77" s="12" t="s">
        <v>146</v>
      </c>
      <c r="F77" s="12" t="s">
        <v>146</v>
      </c>
      <c r="G77" s="12" t="s">
        <v>104</v>
      </c>
      <c r="H77" s="12" t="s">
        <v>317</v>
      </c>
      <c r="I77" s="12" t="s">
        <v>352</v>
      </c>
      <c r="J77" s="136" t="s">
        <v>353</v>
      </c>
      <c r="K77" s="12" t="s">
        <v>146</v>
      </c>
      <c r="AJ77" s="12"/>
    </row>
    <row r="78" spans="1:36">
      <c r="A78" t="s">
        <v>146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123</v>
      </c>
      <c r="I78" s="12" t="s">
        <v>358</v>
      </c>
      <c r="J78" s="70" t="s">
        <v>359</v>
      </c>
      <c r="K78" s="12" t="s">
        <v>146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146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367</v>
      </c>
      <c r="K81" s="12" t="s">
        <v>103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371</v>
      </c>
      <c r="D86" s="12">
        <f>D85+1</f>
        <v>8</v>
      </c>
    </row>
    <row r="87" spans="1:36">
      <c r="B87" s="176">
        <v>89.99999999999999</v>
      </c>
      <c r="C87" s="12" t="s">
        <v>372</v>
      </c>
      <c r="D87" s="12">
        <f>D86+1</f>
        <v>9</v>
      </c>
    </row>
    <row r="88" spans="1:36">
      <c r="B88" s="176">
        <v>99.99999999999999</v>
      </c>
      <c r="C88" s="12" t="s">
        <v>373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