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<sst xmlns="http://schemas.openxmlformats.org/spreadsheetml/2006/main" uniqueCount="368">
  <si>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</si>
  <si>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</si>
  <si>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</si>
  <si>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</si>
  <si>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</si>
  <si>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</si>
  <si>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</si>
  <si>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</si>
  <si>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</si>
  <si>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</si>
  <si>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</si>
  <si>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</si>
  <si>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</si>
  <si>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</si>
  <si>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</si>
  <si>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</si>
  <si>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</si>
  <si>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</si>
  <si>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</si>
  <si>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</si>
  <si>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</si>
  <si>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</si>
  <si>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</si>
  <si>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</si>
  <si>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</si>
  <si>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</si>
  <si>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</si>
  <si>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</si>
  <si>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</si>
  <si>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</si>
  <si>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</si>
  <si>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</si>
  <si>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</si>
  <si>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</si>
  <si>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</si>
  <si>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</si>
  <si>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</si>
  <si>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</si>
  <si>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</si>
  <si>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</si>
  <si>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</si>
  <si>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</si>
  <si>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</si>
  <si>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</si>
  <si>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</si>
  <si>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</si>
  <si>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</si>
  <si>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</si>
  <si>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</si>
  <si>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</si>
  <si>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</si>
  <si>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</si>
  <si>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</si>
  <si>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</si>
  <si>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</si>
  <si>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</si>
  <si>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</si>
  <si>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</si>
  <si>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</si>
  <si>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</si>
  <si>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</si>
  <si>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</si>
  <si>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</si>
  <si>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</si>
  <si>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</si>
  <si>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</si>
  <si>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</si>
  <si>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</si>
  <si>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</si>
  <si>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</si>
  <si>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</si>
  <si>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</si>
  <si>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</si>
  <si>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</si>
  <si>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</si>
  <si>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</si>
  <si>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</si>
  <si>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</si>
  <si>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</si>
  <si>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</si>
  <si>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</si>
  <si>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</si>
  <si>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</si>
  <si>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</si>
  <si>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</si>
  <si>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</si>
  <si>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</si>
  <si>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</si>
  <si>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</si>
  <si>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</si>
  <si>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</si>
  <si>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both manure and inorganic</t>
  </si>
  <si>
    <t>Yes</t>
  </si>
  <si>
    <t>No</t>
  </si>
  <si>
    <t>June</t>
  </si>
  <si>
    <t>Tea</t>
  </si>
  <si>
    <t>Shop_certified variety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</si>
  <si>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</si>
  <si>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</si>
  <si>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</si>
  <si>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</si>
  <si>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</si>
  <si>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</si>
  <si>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</si>
  <si>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</si>
  <si>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</si>
  <si>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</si>
  <si>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</si>
  <si>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</si>
  <si>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</si>
  <si>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</si>
  <si>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</si>
  <si>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</si>
  <si>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Cows_beef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</si>
  <si>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</si>
  <si>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</si>
  <si>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</si>
  <si>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</si>
  <si>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</si>
  <si>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</si>
  <si>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</si>
  <si>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</si>
  <si>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</si>
  <si>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</si>
  <si>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</si>
  <si>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</si>
  <si>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</si>
  <si>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</si>
  <si>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</si>
  <si>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</si>
  <si>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</si>
  <si>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</si>
  <si>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</si>
  <si>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</si>
  <si>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</si>
  <si>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</si>
  <si>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</si>
  <si>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</si>
  <si>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</si>
  <si>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</si>
  <si>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</si>
  <si>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</si>
  <si>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</si>
  <si>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</si>
  <si>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</si>
  <si>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</si>
  <si>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</si>
  <si>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9/28/2016</t>
  </si>
  <si>
    <t>Equith</t>
  </si>
  <si>
    <t>na</t>
  </si>
  <si>
    <t>Mpesa &amp; bank cash flows (from past statements)</t>
  </si>
  <si>
    <t>Cash inflows</t>
  </si>
  <si>
    <t>Cash outflows</t>
  </si>
  <si>
    <t>March</t>
  </si>
  <si>
    <t>February</t>
  </si>
  <si>
    <t>December</t>
  </si>
  <si>
    <t>November</t>
  </si>
  <si>
    <t>October</t>
  </si>
  <si>
    <t>Loan info</t>
  </si>
  <si>
    <t>Branch ID</t>
  </si>
  <si>
    <t>Submission date</t>
  </si>
  <si>
    <t>2017/4/19</t>
  </si>
  <si>
    <t>Loan terms</t>
  </si>
  <si>
    <t>Expected disbursement date</t>
  </si>
  <si>
    <t>Expected first repayment date</t>
  </si>
  <si>
    <t>2017/5/31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</si>
  <si>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</si>
  <si>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</si>
  <si>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</si>
  <si>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</si>
  <si>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</si>
  <si>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</si>
  <si>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</si>
  <si>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</si>
  <si>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</si>
  <si>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</si>
  <si>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</si>
  <si>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</si>
  <si>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</si>
  <si>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</si>
  <si>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</si>
  <si>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</si>
  <si>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</si>
  <si>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</si>
  <si>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</si>
  <si>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</si>
  <si>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</si>
  <si>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</si>
  <si>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</si>
  <si>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</si>
  <si>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</si>
  <si>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</si>
  <si>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</si>
  <si>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</si>
  <si>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</si>
  <si>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</si>
  <si>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</si>
  <si>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</si>
  <si>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</si>
  <si>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</si>
  <si>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</si>
  <si>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</si>
  <si>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</si>
  <si>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</si>
  <si>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</si>
  <si>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</si>
  <si>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</si>
  <si>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</si>
  <si>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</si>
  <si>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</si>
  <si>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</si>
  <si>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</si>
  <si>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</si>
  <si>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</si>
  <si>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</si>
  <si>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</si>
  <si>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</si>
  <si>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</si>
  <si>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</si>
  <si>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</si>
  <si>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</si>
  <si>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</si>
  <si>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</si>
  <si>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</si>
  <si>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</si>
  <si>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</si>
  <si>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</si>
  <si>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</si>
  <si>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</si>
  <si>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</si>
  <si>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</si>
  <si>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</si>
  <si>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</si>
  <si>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</si>
  <si>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</si>
  <si>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</si>
  <si>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</si>
  <si>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</si>
  <si>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</si>
  <si>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</si>
  <si>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</si>
  <si>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</si>
  <si>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</si>
  <si>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</si>
  <si>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</si>
  <si>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</si>
  <si>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</si>
  <si>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</si>
  <si>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</si>
  <si>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</si>
  <si>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</si>
  <si>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</si>
  <si>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</si>
  <si>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</si>
  <si>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</si>
  <si>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</si>
  <si>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</si>
  <si>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</si>
  <si>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</si>
  <si>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</si>
  <si>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</si>
  <si>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</si>
  <si>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</si>
  <si>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</si>
  <si>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</si>
  <si>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</si>
  <si>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</si>
  <si>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</si>
  <si>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</si>
  <si>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</si>
  <si>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</si>
  <si>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</si>
  <si>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</si>
  <si>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</si>
  <si>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</si>
  <si>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</si>
  <si>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</si>
  <si>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</si>
  <si>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</si>
  <si>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</si>
  <si>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</si>
  <si>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</si>
  <si>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</si>
  <si>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</si>
  <si>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</si>
  <si>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</si>
  <si>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</si>
  <si>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</si>
  <si>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</si>
  <si>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</si>
  <si>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</si>
  <si>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</si>
  <si>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</si>
  <si>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</si>
  <si>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</si>
  <si>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</si>
  <si>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</si>
  <si>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</si>
  <si>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</si>
  <si>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</si>
  <si>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</si>
  <si>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</si>
  <si>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</si>
  <si>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</si>
  <si>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</si>
  <si>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</si>
  <si>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</si>
  <si>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</si>
  <si>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</si>
  <si>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</si>
  <si>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</si>
  <si>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</si>
  <si>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</si>
  <si>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</si>
  <si>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</si>
  <si>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</si>
  <si>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</si>
  <si>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</si>
  <si>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</si>
  <si>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</si>
  <si>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</si>
  <si>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</si>
  <si>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</si>
  <si>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</si>
  <si>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</si>
  <si>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</si>
  <si>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</si>
  <si>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</si>
  <si>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</si>
  <si>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</si>
  <si>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</si>
  <si>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</si>
  <si>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</si>
  <si>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</si>
  <si>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</si>
  <si>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</si>
  <si>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</si>
  <si>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</si>
  <si>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</si>
  <si>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</si>
  <si>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</si>
  <si>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</si>
  <si>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</si>
  <si>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</si>
  <si>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</si>
  <si>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</si>
  <si>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</si>
  <si>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</si>
  <si>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</si>
  <si>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</si>
  <si>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</si>
  <si>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</si>
  <si>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</si>
  <si>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</si>
  <si>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</si>
  <si>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</si>
  <si>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</si>
  <si>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</si>
  <si>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</si>
  <si>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</si>
  <si>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</si>
  <si>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</si>
  <si>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</si>
  <si>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April</t>
  </si>
  <si>
    <t>May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</si>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</sst>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Goat, Chicken: sale of ex layers</v>
      </c>
    </row>
    <row r="8" spans="1:7">
      <c r="B8" s="1" t="s">
        <v>4</v>
      </c>
      <c r="C8" t="str">
        <f>IF(Inputs!B29="","None",Inputs!B29)</f>
        <v>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0.1167903798810082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0.07713725601613775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2392853.838701626</v>
      </c>
    </row>
    <row r="18" spans="1:7">
      <c r="B18" s="1" t="s">
        <v>12</v>
      </c>
      <c r="C18" s="36">
        <f>MIN(Output!B6:M6)</f>
        <v>117183.6798802653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338217.7303837111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2900000</v>
      </c>
    </row>
    <row r="25" spans="1:7">
      <c r="B25" s="1" t="s">
        <v>18</v>
      </c>
      <c r="C25" s="36">
        <f>MAX(Inputs!A56:A60)</f>
        <v>2900000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338217.7303837111</v>
      </c>
      <c r="C6" s="51">
        <f>C30-C88</f>
        <v>131733.6798802653</v>
      </c>
      <c r="D6" s="51">
        <f>D30-D88</f>
        <v>122433.6798802653</v>
      </c>
      <c r="E6" s="51">
        <f>E30-E88</f>
        <v>130683.6798802653</v>
      </c>
      <c r="F6" s="51">
        <f>F30-F88</f>
        <v>117183.6798802653</v>
      </c>
      <c r="G6" s="51">
        <f>G30-G88</f>
        <v>337167.7303837111</v>
      </c>
      <c r="H6" s="51">
        <f>H30-H88</f>
        <v>338217.7303837111</v>
      </c>
      <c r="I6" s="51">
        <f>I30-I88</f>
        <v>131733.6798802653</v>
      </c>
      <c r="J6" s="51">
        <f>J30-J88</f>
        <v>122433.6798802653</v>
      </c>
      <c r="K6" s="51">
        <f>K30-K88</f>
        <v>168697.1580049257</v>
      </c>
      <c r="L6" s="51">
        <f>L30-L88</f>
        <v>117183.6798802653</v>
      </c>
      <c r="M6" s="51">
        <f>M30-M88</f>
        <v>337167.7303837111</v>
      </c>
      <c r="N6" s="51">
        <f>N30-N88</f>
        <v>338217.7303837111</v>
      </c>
      <c r="O6" s="51">
        <f>O30-O88</f>
        <v>131733.6798802653</v>
      </c>
      <c r="P6" s="51">
        <f>P30-P88</f>
        <v>122433.6798802653</v>
      </c>
      <c r="Q6" s="51">
        <f>Q30-Q88</f>
        <v>130683.6798802653</v>
      </c>
      <c r="R6" s="51">
        <f>R30-R88</f>
        <v>117183.6798802653</v>
      </c>
      <c r="S6" s="51">
        <f>S30-S88</f>
        <v>337167.7303837111</v>
      </c>
      <c r="T6" s="51">
        <f>T30-T88</f>
        <v>368217.7303837111</v>
      </c>
      <c r="U6" s="51">
        <f>U30-U88</f>
        <v>131733.6798802653</v>
      </c>
      <c r="V6" s="51">
        <f>V30-V88</f>
        <v>122433.6798802653</v>
      </c>
      <c r="W6" s="51">
        <f>W30-W88</f>
        <v>168697.1580049257</v>
      </c>
      <c r="X6" s="51">
        <f>X30-X88</f>
        <v>117183.6798802653</v>
      </c>
      <c r="Y6" s="51">
        <f>Y30-Y88</f>
        <v>337167.7303837111</v>
      </c>
      <c r="Z6" s="51">
        <f>SUMIF($B$13:$Y$13,"Yes",B6:Y6)</f>
        <v>2731071.569085337</v>
      </c>
      <c r="AA6" s="51">
        <f>AA30-AA88</f>
        <v>2392853.838701628</v>
      </c>
      <c r="AB6" s="51">
        <f>AB30-AB88</f>
        <v>4815707.677403256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80000</v>
      </c>
      <c r="I7" s="80">
        <f>IF(ISERROR(VLOOKUP(MONTH(I5),Inputs!$D$66:$D$71,1,0)),"",INDEX(Inputs!$B$66:$B$71,MATCH(MONTH(Output!I5),Inputs!$D$66:$D$71,0))-INDEX(Inputs!$C$66:$C$71,MATCH(MONTH(Output!I5),Inputs!$D$66:$D$71,0)))</f>
        <v>90000</v>
      </c>
      <c r="J7" s="80">
        <f>IF(ISERROR(VLOOKUP(MONTH(J5),Inputs!$D$66:$D$71,1,0)),"",INDEX(Inputs!$B$66:$B$71,MATCH(MONTH(Output!J5),Inputs!$D$66:$D$71,0))-INDEX(Inputs!$C$66:$C$71,MATCH(MONTH(Output!J5),Inputs!$D$66:$D$71,0)))</f>
        <v>90000</v>
      </c>
      <c r="K7" s="80">
        <f>IF(ISERROR(VLOOKUP(MONTH(K5),Inputs!$D$66:$D$71,1,0)),"",INDEX(Inputs!$B$66:$B$71,MATCH(MONTH(Output!K5),Inputs!$D$66:$D$71,0))-INDEX(Inputs!$C$66:$C$71,MATCH(MONTH(Output!K5),Inputs!$D$66:$D$71,0)))</f>
        <v>110000</v>
      </c>
      <c r="L7" s="80">
        <f>IF(ISERROR(VLOOKUP(MONTH(L5),Inputs!$D$66:$D$71,1,0)),"",INDEX(Inputs!$B$66:$B$71,MATCH(MONTH(Output!L5),Inputs!$D$66:$D$71,0))-INDEX(Inputs!$C$66:$C$71,MATCH(MONTH(Output!L5),Inputs!$D$66:$D$71,0)))</f>
        <v>200000</v>
      </c>
      <c r="M7" s="80">
        <f>IF(ISERROR(VLOOKUP(MONTH(M5),Inputs!$D$66:$D$71,1,0)),"",INDEX(Inputs!$B$66:$B$71,MATCH(MONTH(Output!M5),Inputs!$D$66:$D$71,0))-INDEX(Inputs!$C$66:$C$71,MATCH(MONTH(Output!M5),Inputs!$D$66:$D$71,0)))</f>
        <v>120000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80000</v>
      </c>
      <c r="U7" s="80">
        <f>IF(ISERROR(VLOOKUP(MONTH(U5),Inputs!$D$66:$D$71,1,0)),"",INDEX(Inputs!$B$66:$B$71,MATCH(MONTH(Output!U5),Inputs!$D$66:$D$71,0))-INDEX(Inputs!$C$66:$C$71,MATCH(MONTH(Output!U5),Inputs!$D$66:$D$71,0)))</f>
        <v>90000</v>
      </c>
      <c r="V7" s="80">
        <f>IF(ISERROR(VLOOKUP(MONTH(V5),Inputs!$D$66:$D$71,1,0)),"",INDEX(Inputs!$B$66:$B$71,MATCH(MONTH(Output!V5),Inputs!$D$66:$D$71,0))-INDEX(Inputs!$C$66:$C$71,MATCH(MONTH(Output!V5),Inputs!$D$66:$D$71,0)))</f>
        <v>90000</v>
      </c>
      <c r="W7" s="80">
        <f>IF(ISERROR(VLOOKUP(MONTH(W5),Inputs!$D$66:$D$71,1,0)),"",INDEX(Inputs!$B$66:$B$71,MATCH(MONTH(Output!W5),Inputs!$D$66:$D$71,0))-INDEX(Inputs!$C$66:$C$71,MATCH(MONTH(Output!W5),Inputs!$D$66:$D$71,0)))</f>
        <v>110000</v>
      </c>
      <c r="X7" s="80">
        <f>IF(ISERROR(VLOOKUP(MONTH(X5),Inputs!$D$66:$D$71,1,0)),"",INDEX(Inputs!$B$66:$B$71,MATCH(MONTH(Output!X5),Inputs!$D$66:$D$71,0))-INDEX(Inputs!$C$66:$C$71,MATCH(MONTH(Output!X5),Inputs!$D$66:$D$71,0)))</f>
        <v>200000</v>
      </c>
      <c r="Y7" s="80">
        <f>IF(ISERROR(VLOOKUP(MONTH(Y5),Inputs!$D$66:$D$71,1,0)),"",INDEX(Inputs!$B$66:$B$71,MATCH(MONTH(Output!Y5),Inputs!$D$66:$D$71,0))-INDEX(Inputs!$C$66:$C$71,MATCH(MONTH(Output!Y5),Inputs!$D$66:$D$71,0)))</f>
        <v>120000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638217.7303837111</v>
      </c>
      <c r="C11" s="80">
        <f>C6+C9-C10</f>
        <v>102233.6798802653</v>
      </c>
      <c r="D11" s="80">
        <f>D6+D9-D10</f>
        <v>92933.67988026526</v>
      </c>
      <c r="E11" s="80">
        <f>E6+E9-E10</f>
        <v>101183.6798802653</v>
      </c>
      <c r="F11" s="80">
        <f>F6+F9-F10</f>
        <v>87683.67988026526</v>
      </c>
      <c r="G11" s="80">
        <f>G6+G9-G10</f>
        <v>307667.7303837111</v>
      </c>
      <c r="H11" s="80">
        <f>H6+H9-H10</f>
        <v>308717.7303837111</v>
      </c>
      <c r="I11" s="80">
        <f>I6+I9-I10</f>
        <v>102233.6798802653</v>
      </c>
      <c r="J11" s="80">
        <f>J6+J9-J10</f>
        <v>92933.67988026526</v>
      </c>
      <c r="K11" s="80">
        <f>K6+K9-K10</f>
        <v>139197.1580049257</v>
      </c>
      <c r="L11" s="80">
        <f>L6+L9-L10</f>
        <v>87683.67988026526</v>
      </c>
      <c r="M11" s="80">
        <f>M6+M9-M10</f>
        <v>307667.7303837111</v>
      </c>
      <c r="N11" s="80">
        <f>N6+N9-N10</f>
        <v>308717.7303837111</v>
      </c>
      <c r="O11" s="80">
        <f>O6+O9-O10</f>
        <v>131733.6798802653</v>
      </c>
      <c r="P11" s="80">
        <f>P6+P9-P10</f>
        <v>122433.6798802653</v>
      </c>
      <c r="Q11" s="80">
        <f>Q6+Q9-Q10</f>
        <v>130683.6798802653</v>
      </c>
      <c r="R11" s="80">
        <f>R6+R9-R10</f>
        <v>117183.6798802653</v>
      </c>
      <c r="S11" s="80">
        <f>S6+S9-S10</f>
        <v>337167.7303837111</v>
      </c>
      <c r="T11" s="80">
        <f>T6+T9-T10</f>
        <v>368217.7303837111</v>
      </c>
      <c r="U11" s="80">
        <f>U6+U9-U10</f>
        <v>131733.6798802653</v>
      </c>
      <c r="V11" s="80">
        <f>V6+V9-V10</f>
        <v>122433.6798802653</v>
      </c>
      <c r="W11" s="80">
        <f>W6+W9-W10</f>
        <v>168697.1580049257</v>
      </c>
      <c r="X11" s="80">
        <f>X6+X9-X10</f>
        <v>117183.6798802653</v>
      </c>
      <c r="Y11" s="80">
        <f>Y6+Y9-Y10</f>
        <v>337167.7303837111</v>
      </c>
      <c r="Z11" s="85">
        <f>SUMIF($B$13:$Y$13,"Yes",B11:Y11)</f>
        <v>2677071.569085337</v>
      </c>
      <c r="AA11" s="80">
        <f>SUM(B11:M11)</f>
        <v>2368353.838701626</v>
      </c>
      <c r="AB11" s="46">
        <f>SUM(B11:Y11)</f>
        <v>4761707.677403252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0.03831410606792185</v>
      </c>
      <c r="D12" s="82">
        <f>IF(D13="Yes",IF(SUM($B$10:D10)/(SUM($B$6:D6)+SUM($B$9:D9))&lt;0,999.99,SUM($B$10:D10)/(SUM($B$6:D6)+SUM($B$9:D9))),"")</f>
        <v>0.06611495491308968</v>
      </c>
      <c r="E12" s="82">
        <f>IF(E13="Yes",IF(SUM($B$10:E10)/(SUM($B$6:E6)+SUM($B$9:E9))&lt;0,999.99,SUM($B$10:E10)/(SUM($B$6:E6)+SUM($B$9:E9))),"")</f>
        <v>0.08650444876533574</v>
      </c>
      <c r="F12" s="82">
        <f>IF(F13="Yes",IF(SUM($B$10:F10)/(SUM($B$6:F6)+SUM($B$9:F9))&lt;0,999.99,SUM($B$10:F10)/(SUM($B$6:F6)+SUM($B$9:F9))),"")</f>
        <v>0.1034858552681511</v>
      </c>
      <c r="G12" s="82">
        <f>IF(G13="Yes",IF(SUM($B$10:G10)/(SUM($B$6:G6)+SUM($B$9:G9))&lt;0,999.99,SUM($B$10:G10)/(SUM($B$6:G6)+SUM($B$9:G9))),"")</f>
        <v>0.09983618876195324</v>
      </c>
      <c r="H12" s="82">
        <f>IF(H13="Yes",IF(SUM($B$10:H10)/(SUM($B$6:H6)+SUM($B$9:H9))&lt;0,999.99,SUM($B$10:H10)/(SUM($B$6:H6)+SUM($B$9:H9))),"")</f>
        <v>0.09748639800898969</v>
      </c>
      <c r="I12" s="82">
        <f>IF(I13="Yes",IF(SUM($B$10:I10)/(SUM($B$6:I6)+SUM($B$9:I9))&lt;0,999.99,SUM($B$10:I10)/(SUM($B$6:I6)+SUM($B$9:I9))),"")</f>
        <v>0.1060403679512532</v>
      </c>
      <c r="J12" s="82">
        <f>IF(J13="Yes",IF(SUM($B$10:J10)/(SUM($B$6:J6)+SUM($B$9:J9))&lt;0,999.99,SUM($B$10:J10)/(SUM($B$6:J6)+SUM($B$9:J9))),"")</f>
        <v>0.1140203879907314</v>
      </c>
      <c r="K12" s="82">
        <f>IF(K13="Yes",IF(SUM($B$10:K10)/(SUM($B$6:K6)+SUM($B$9:K9))&lt;0,999.99,SUM($B$10:K10)/(SUM($B$6:K6)+SUM($B$9:K9))),"")</f>
        <v>0.1186060808454446</v>
      </c>
      <c r="L12" s="82">
        <f>IF(L13="Yes",IF(SUM($B$10:L10)/(SUM($B$6:L6)+SUM($B$9:L9))&lt;0,999.99,SUM($B$10:L10)/(SUM($B$6:L6)+SUM($B$9:L9))),"")</f>
        <v>0.1252289084519183</v>
      </c>
      <c r="M12" s="82">
        <f>IF(M13="Yes",IF(SUM($B$10:M10)/(SUM($B$6:M6)+SUM($B$9:M9))&lt;0,999.99,SUM($B$10:M10)/(SUM($B$6:M6)+SUM($B$9:M9))),"")</f>
        <v>0.1205041266392904</v>
      </c>
      <c r="N12" s="82">
        <f>IF(N13="Yes",IF(SUM($B$10:N10)/(SUM($B$6:N6)+SUM($B$9:N9))&lt;0,999.99,SUM($B$10:N10)/(SUM($B$6:N6)+SUM($B$9:N9))),"")</f>
        <v>0.1167903798810082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206484.0505034457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206484.0505034457</v>
      </c>
      <c r="H18" s="36">
        <f>T18</f>
        <v>206484.0505034457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206484.0505034457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206484.0505034457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206484.0505034457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206484.0505034457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206484.0505034457</v>
      </c>
      <c r="Z18" s="36">
        <f>SUMIF($B$13:$Y$13,"Yes",B18:Y18)</f>
        <v>1032420.252517228</v>
      </c>
      <c r="AA18" s="36">
        <f>SUM(B18:M18)</f>
        <v>825936.2020137828</v>
      </c>
      <c r="AB18" s="36">
        <f>SUM(B18:Y18)</f>
        <v>1651872.404027566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1458.824723294912</v>
      </c>
      <c r="C19" s="36">
        <f>O19</f>
        <v>1458.824723294912</v>
      </c>
      <c r="D19" s="36">
        <f>P19</f>
        <v>1458.824723294912</v>
      </c>
      <c r="E19" s="36">
        <f>Q19</f>
        <v>1458.824723294912</v>
      </c>
      <c r="F19" s="36">
        <f>R19</f>
        <v>1458.824723294912</v>
      </c>
      <c r="G19" s="36">
        <f>S19</f>
        <v>1458.824723294912</v>
      </c>
      <c r="H19" s="36">
        <f>T19</f>
        <v>1458.824723294912</v>
      </c>
      <c r="I19" s="36">
        <f>U19</f>
        <v>1458.824723294912</v>
      </c>
      <c r="J19" s="36">
        <f>V19</f>
        <v>1458.824723294912</v>
      </c>
      <c r="K19" s="36">
        <f>W19</f>
        <v>41472.30284795537</v>
      </c>
      <c r="L19" s="36">
        <f>X19</f>
        <v>1458.824723294912</v>
      </c>
      <c r="M19" s="36">
        <f>Y19</f>
        <v>1458.824723294912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1458.824723294912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1458.824723294912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1458.824723294912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1458.824723294912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1458.824723294912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1458.824723294912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1458.824723294912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1458.824723294912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1458.824723294912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41472.30284795537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1458.824723294912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1458.824723294912</v>
      </c>
      <c r="Z19" s="36">
        <f>SUMIF($B$13:$Y$13,"Yes",B19:Y19)</f>
        <v>58978.19952749433</v>
      </c>
      <c r="AA19" s="36">
        <f>SUM(B19:M19)</f>
        <v>57519.37480419941</v>
      </c>
      <c r="AB19" s="36">
        <f>SUM(B19:Y19)</f>
        <v>115038.7496083988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1126937.5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19550</v>
      </c>
      <c r="C25" s="36">
        <f>IFERROR(Calculations!$P15/12,"")</f>
        <v>19550</v>
      </c>
      <c r="D25" s="36">
        <f>IFERROR(Calculations!$P15/12,"")</f>
        <v>19550</v>
      </c>
      <c r="E25" s="36">
        <f>IFERROR(Calculations!$P15/12,"")</f>
        <v>19550</v>
      </c>
      <c r="F25" s="36">
        <f>IFERROR(Calculations!$P15/12,"")</f>
        <v>19550</v>
      </c>
      <c r="G25" s="36">
        <f>IFERROR(Calculations!$P15/12,"")</f>
        <v>19550</v>
      </c>
      <c r="H25" s="36">
        <f>IFERROR(Calculations!$P15/12,"")</f>
        <v>19550</v>
      </c>
      <c r="I25" s="36">
        <f>IFERROR(Calculations!$P15/12,"")</f>
        <v>19550</v>
      </c>
      <c r="J25" s="36">
        <f>IFERROR(Calculations!$P15/12,"")</f>
        <v>19550</v>
      </c>
      <c r="K25" s="36">
        <f>IFERROR(Calculations!$P15/12,"")</f>
        <v>19550</v>
      </c>
      <c r="L25" s="36">
        <f>IFERROR(Calculations!$P15/12,"")</f>
        <v>19550</v>
      </c>
      <c r="M25" s="36">
        <f>IFERROR(Calculations!$P15/12,"")</f>
        <v>19550</v>
      </c>
      <c r="N25" s="36">
        <f>IFERROR(Calculations!$P15/12,"")</f>
        <v>19550</v>
      </c>
      <c r="O25" s="36">
        <f>IFERROR(Calculations!$P15/12,"")</f>
        <v>19550</v>
      </c>
      <c r="P25" s="36">
        <f>IFERROR(Calculations!$P15/12,"")</f>
        <v>19550</v>
      </c>
      <c r="Q25" s="36">
        <f>IFERROR(Calculations!$P15/12,"")</f>
        <v>19550</v>
      </c>
      <c r="R25" s="36">
        <f>IFERROR(Calculations!$P15/12,"")</f>
        <v>19550</v>
      </c>
      <c r="S25" s="36">
        <f>IFERROR(Calculations!$P15/12,"")</f>
        <v>19550</v>
      </c>
      <c r="T25" s="36">
        <f>IFERROR(Calculations!$P15/12,"")</f>
        <v>19550</v>
      </c>
      <c r="U25" s="36">
        <f>IFERROR(Calculations!$P15/12,"")</f>
        <v>19550</v>
      </c>
      <c r="V25" s="36">
        <f>IFERROR(Calculations!$P15/12,"")</f>
        <v>19550</v>
      </c>
      <c r="W25" s="36">
        <f>IFERROR(Calculations!$P15/12,"")</f>
        <v>19550</v>
      </c>
      <c r="X25" s="36">
        <f>IFERROR(Calculations!$P15/12,"")</f>
        <v>19550</v>
      </c>
      <c r="Y25" s="36">
        <f>IFERROR(Calculations!$P15/12,"")</f>
        <v>19550</v>
      </c>
      <c r="Z25" s="36">
        <f>SUMIF($B$13:$Y$13,"Yes",B25:Y25)</f>
        <v>254150</v>
      </c>
      <c r="AA25" s="36">
        <f>SUM(B25:M25)</f>
        <v>234600</v>
      </c>
      <c r="AB25" s="46">
        <f>SUM(B25:Y25)</f>
        <v>469199.9999999999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1250</v>
      </c>
      <c r="C26" s="36">
        <f>IFERROR(Calculations!$P16/12,"")</f>
        <v>1250</v>
      </c>
      <c r="D26" s="36">
        <f>IFERROR(Calculations!$P16/12,"")</f>
        <v>1250</v>
      </c>
      <c r="E26" s="36">
        <f>IFERROR(Calculations!$P16/12,"")</f>
        <v>1250</v>
      </c>
      <c r="F26" s="36">
        <f>IFERROR(Calculations!$P16/12,"")</f>
        <v>1250</v>
      </c>
      <c r="G26" s="36">
        <f>IFERROR(Calculations!$P16/12,"")</f>
        <v>1250</v>
      </c>
      <c r="H26" s="36">
        <f>IFERROR(Calculations!$P16/12,"")</f>
        <v>1250</v>
      </c>
      <c r="I26" s="36">
        <f>IFERROR(Calculations!$P16/12,"")</f>
        <v>1250</v>
      </c>
      <c r="J26" s="36">
        <f>IFERROR(Calculations!$P16/12,"")</f>
        <v>1250</v>
      </c>
      <c r="K26" s="36">
        <f>IFERROR(Calculations!$P16/12,"")</f>
        <v>1250</v>
      </c>
      <c r="L26" s="36">
        <f>IFERROR(Calculations!$P16/12,"")</f>
        <v>1250</v>
      </c>
      <c r="M26" s="36">
        <f>IFERROR(Calculations!$P16/12,"")</f>
        <v>1250</v>
      </c>
      <c r="N26" s="36">
        <f>IFERROR(Calculations!$P16/12,"")</f>
        <v>1250</v>
      </c>
      <c r="O26" s="36">
        <f>IFERROR(Calculations!$P16/12,"")</f>
        <v>1250</v>
      </c>
      <c r="P26" s="36">
        <f>IFERROR(Calculations!$P16/12,"")</f>
        <v>1250</v>
      </c>
      <c r="Q26" s="36">
        <f>IFERROR(Calculations!$P16/12,"")</f>
        <v>1250</v>
      </c>
      <c r="R26" s="36">
        <f>IFERROR(Calculations!$P16/12,"")</f>
        <v>1250</v>
      </c>
      <c r="S26" s="36">
        <f>IFERROR(Calculations!$P16/12,"")</f>
        <v>1250</v>
      </c>
      <c r="T26" s="36">
        <f>IFERROR(Calculations!$P16/12,"")</f>
        <v>1250</v>
      </c>
      <c r="U26" s="36">
        <f>IFERROR(Calculations!$P16/12,"")</f>
        <v>1250</v>
      </c>
      <c r="V26" s="36">
        <f>IFERROR(Calculations!$P16/12,"")</f>
        <v>1250</v>
      </c>
      <c r="W26" s="36">
        <f>IFERROR(Calculations!$P16/12,"")</f>
        <v>1250</v>
      </c>
      <c r="X26" s="36">
        <f>IFERROR(Calculations!$P16/12,"")</f>
        <v>1250</v>
      </c>
      <c r="Y26" s="36">
        <f>IFERROR(Calculations!$P16/12,"")</f>
        <v>1250</v>
      </c>
      <c r="Z26" s="36">
        <f>SUMIF($B$13:$Y$13,"Yes",B26:Y26)</f>
        <v>16250</v>
      </c>
      <c r="AA26" s="36">
        <f>SUM(B26:M26)</f>
        <v>15000</v>
      </c>
      <c r="AB26" s="46">
        <f>SUM(B26:Y26)</f>
        <v>30000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1000000</v>
      </c>
      <c r="C29" s="37">
        <f>Inputs!$B$30</f>
        <v>1000000</v>
      </c>
      <c r="D29" s="37">
        <f>Inputs!$B$30</f>
        <v>1000000</v>
      </c>
      <c r="E29" s="37">
        <f>Inputs!$B$30</f>
        <v>1000000</v>
      </c>
      <c r="F29" s="37">
        <f>Inputs!$B$30</f>
        <v>1000000</v>
      </c>
      <c r="G29" s="37">
        <f>Inputs!$B$30</f>
        <v>1000000</v>
      </c>
      <c r="H29" s="37">
        <f>Inputs!$B$30</f>
        <v>1000000</v>
      </c>
      <c r="I29" s="37">
        <f>Inputs!$B$30</f>
        <v>1000000</v>
      </c>
      <c r="J29" s="37">
        <f>Inputs!$B$30</f>
        <v>1000000</v>
      </c>
      <c r="K29" s="37">
        <f>Inputs!$B$30</f>
        <v>1000000</v>
      </c>
      <c r="L29" s="37">
        <f>Inputs!$B$30</f>
        <v>1000000</v>
      </c>
      <c r="M29" s="37">
        <f>Inputs!$B$30</f>
        <v>1000000</v>
      </c>
      <c r="N29" s="37">
        <f>Inputs!$B$30</f>
        <v>1000000</v>
      </c>
      <c r="O29" s="37">
        <f>Inputs!$B$30</f>
        <v>1000000</v>
      </c>
      <c r="P29" s="37">
        <f>Inputs!$B$30</f>
        <v>1000000</v>
      </c>
      <c r="Q29" s="37">
        <f>Inputs!$B$30</f>
        <v>1000000</v>
      </c>
      <c r="R29" s="37">
        <f>Inputs!$B$30</f>
        <v>1000000</v>
      </c>
      <c r="S29" s="37">
        <f>Inputs!$B$30</f>
        <v>1000000</v>
      </c>
      <c r="T29" s="37">
        <f>Inputs!$B$30</f>
        <v>1000000</v>
      </c>
      <c r="U29" s="37">
        <f>Inputs!$B$30</f>
        <v>1000000</v>
      </c>
      <c r="V29" s="37">
        <f>Inputs!$B$30</f>
        <v>1000000</v>
      </c>
      <c r="W29" s="37">
        <f>Inputs!$B$30</f>
        <v>1000000</v>
      </c>
      <c r="X29" s="37">
        <f>Inputs!$B$30</f>
        <v>1000000</v>
      </c>
      <c r="Y29" s="37">
        <f>Inputs!$B$30</f>
        <v>1000000</v>
      </c>
      <c r="Z29" s="37">
        <f>SUMIF($B$13:$Y$13,"Yes",B29:Y29)</f>
        <v>13000000</v>
      </c>
      <c r="AA29" s="37">
        <f>SUM(B29:M29)</f>
        <v>12000000</v>
      </c>
      <c r="AB29" s="37">
        <f>SUM(B29:Y29)</f>
        <v>24000000</v>
      </c>
    </row>
    <row r="30" spans="1:30" customHeight="1" ht="15.75">
      <c r="A30" s="1" t="s">
        <v>37</v>
      </c>
      <c r="B30" s="19">
        <f>SUM(B18:B29)</f>
        <v>1315430.375226741</v>
      </c>
      <c r="C30" s="19">
        <f>SUM(C18:C29)</f>
        <v>1108946.324723295</v>
      </c>
      <c r="D30" s="19">
        <f>SUM(D18:D29)</f>
        <v>1108946.324723295</v>
      </c>
      <c r="E30" s="19">
        <f>SUM(E18:E29)</f>
        <v>1108946.324723295</v>
      </c>
      <c r="F30" s="19">
        <f>SUM(F18:F29)</f>
        <v>1108946.324723295</v>
      </c>
      <c r="G30" s="19">
        <f>SUM(G18:G29)</f>
        <v>1315430.375226741</v>
      </c>
      <c r="H30" s="19">
        <f>SUM(H18:H29)</f>
        <v>1315430.375226741</v>
      </c>
      <c r="I30" s="19">
        <f>SUM(I18:I29)</f>
        <v>1108946.324723295</v>
      </c>
      <c r="J30" s="19">
        <f>SUM(J18:J29)</f>
        <v>1108946.324723295</v>
      </c>
      <c r="K30" s="19">
        <f>SUM(K18:K29)</f>
        <v>1148959.802847955</v>
      </c>
      <c r="L30" s="19">
        <f>SUM(L18:L29)</f>
        <v>1108946.324723295</v>
      </c>
      <c r="M30" s="19">
        <f>SUM(M18:M29)</f>
        <v>1315430.375226741</v>
      </c>
      <c r="N30" s="19">
        <f>SUM(N18:N29)</f>
        <v>1315430.375226741</v>
      </c>
      <c r="O30" s="19">
        <f>SUM(O18:O29)</f>
        <v>1108946.324723295</v>
      </c>
      <c r="P30" s="19">
        <f>SUM(P18:P29)</f>
        <v>1108946.324723295</v>
      </c>
      <c r="Q30" s="19">
        <f>SUM(Q18:Q29)</f>
        <v>1108946.324723295</v>
      </c>
      <c r="R30" s="19">
        <f>SUM(R18:R29)</f>
        <v>1108946.324723295</v>
      </c>
      <c r="S30" s="19">
        <f>SUM(S18:S29)</f>
        <v>1315430.375226741</v>
      </c>
      <c r="T30" s="19">
        <f>SUM(T18:T29)</f>
        <v>1345430.375226741</v>
      </c>
      <c r="U30" s="19">
        <f>SUM(U18:U29)</f>
        <v>1108946.324723295</v>
      </c>
      <c r="V30" s="19">
        <f>SUM(V18:V29)</f>
        <v>1108946.324723295</v>
      </c>
      <c r="W30" s="19">
        <f>SUM(W18:W29)</f>
        <v>1148959.802847955</v>
      </c>
      <c r="X30" s="19">
        <f>SUM(X18:X29)</f>
        <v>1108946.324723295</v>
      </c>
      <c r="Y30" s="19">
        <f>SUM(Y18:Y29)</f>
        <v>1315430.375226741</v>
      </c>
      <c r="Z30" s="19">
        <f>SUMIF($B$13:$Y$13,"Yes",B30:Y30)</f>
        <v>15488735.95204472</v>
      </c>
      <c r="AA30" s="19">
        <f>SUM(B30:M30)</f>
        <v>14173305.57681798</v>
      </c>
      <c r="AB30" s="19">
        <f>SUM(B30:Y30)</f>
        <v>28376611.15363597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6333.333333333333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6333.333333333333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6333.333333333333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6333.333333333333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16333.33333333334</v>
      </c>
      <c r="AA36" s="36">
        <f>SUM(B36:M36)</f>
        <v>16000</v>
      </c>
      <c r="AB36" s="36">
        <f>SUM(B36:Y36)</f>
        <v>31999.99999999999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6000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6000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6000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6000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Tea</v>
      </c>
      <c r="B38" s="36">
        <f>N38</f>
        <v>333.3333333333333</v>
      </c>
      <c r="C38" s="36">
        <f>O38</f>
        <v>333.3333333333333</v>
      </c>
      <c r="D38" s="36">
        <f>P38</f>
        <v>333.3333333333333</v>
      </c>
      <c r="E38" s="36">
        <f>Q38</f>
        <v>333.3333333333333</v>
      </c>
      <c r="F38" s="36">
        <f>R38</f>
        <v>333.3333333333333</v>
      </c>
      <c r="G38" s="36">
        <f>S38</f>
        <v>333.3333333333333</v>
      </c>
      <c r="H38" s="36">
        <f>T38</f>
        <v>333.3333333333333</v>
      </c>
      <c r="I38" s="36">
        <f>U38</f>
        <v>333.3333333333333</v>
      </c>
      <c r="J38" s="36">
        <f>V38</f>
        <v>333.3333333333333</v>
      </c>
      <c r="K38" s="36">
        <f>W38</f>
        <v>333.3333333333333</v>
      </c>
      <c r="L38" s="36">
        <f>X38</f>
        <v>333.3333333333333</v>
      </c>
      <c r="M38" s="36">
        <f>Y38</f>
        <v>333.3333333333333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333.3333333333333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333.3333333333333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333.3333333333333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333.3333333333333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333.3333333333333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333.3333333333333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333.3333333333333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333.3333333333333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333.3333333333333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333.3333333333333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333.3333333333333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333.3333333333333</v>
      </c>
      <c r="Z38" s="36">
        <f>SUMIF($B$13:$Y$13,"Yes",B38:Y38)</f>
        <v>4333.333333333334</v>
      </c>
      <c r="AA38" s="36">
        <f>SUM(B38:M38)</f>
        <v>4000</v>
      </c>
      <c r="AB38" s="36">
        <f>SUM(B38:Y38)</f>
        <v>7999.999999999997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2250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2250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2250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2250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4500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2250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2250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2250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2250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4500</v>
      </c>
      <c r="AB43" s="36">
        <f>SUM(B43:Y43)</f>
        <v>9000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13500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2000</v>
      </c>
      <c r="L48" s="36">
        <f>X48</f>
        <v>13500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13500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2000</v>
      </c>
      <c r="X48" s="46">
        <f>SUM(X49:X53)</f>
        <v>13500</v>
      </c>
      <c r="Y48" s="46">
        <f>SUM(Y49:Y53)</f>
        <v>0</v>
      </c>
      <c r="Z48" s="46">
        <f>SUMIF($B$13:$Y$13,"Yes",B48:Y48)</f>
        <v>29000</v>
      </c>
      <c r="AA48" s="46">
        <f>SUM(B48:M48)</f>
        <v>29000</v>
      </c>
      <c r="AB48" s="46">
        <f>SUM(B48:Y48)</f>
        <v>58000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13500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13500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13500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13500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27000</v>
      </c>
      <c r="AA49" s="46">
        <f>SUM(B49:M49)</f>
        <v>27000</v>
      </c>
      <c r="AB49" s="46">
        <f>SUM(B49:Y49)</f>
        <v>54000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2000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2000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199.9999999999999</v>
      </c>
      <c r="C66" s="36">
        <f>O66</f>
        <v>199.9999999999999</v>
      </c>
      <c r="D66" s="36">
        <f>P66</f>
        <v>1250</v>
      </c>
      <c r="E66" s="36">
        <f>Q66</f>
        <v>1250</v>
      </c>
      <c r="F66" s="36">
        <f>R66</f>
        <v>1250</v>
      </c>
      <c r="G66" s="36">
        <f>S66</f>
        <v>1250</v>
      </c>
      <c r="H66" s="36">
        <f>T66</f>
        <v>199.9999999999999</v>
      </c>
      <c r="I66" s="36">
        <f>U66</f>
        <v>199.9999999999999</v>
      </c>
      <c r="J66" s="36">
        <f>V66</f>
        <v>1250</v>
      </c>
      <c r="K66" s="36">
        <f>W66</f>
        <v>1250</v>
      </c>
      <c r="L66" s="36">
        <f>X66</f>
        <v>1250</v>
      </c>
      <c r="M66" s="36">
        <f>Y66</f>
        <v>1250</v>
      </c>
      <c r="N66" s="46">
        <f>SUM(N67:N71)</f>
        <v>199.9999999999999</v>
      </c>
      <c r="O66" s="46">
        <f>SUM(O67:O71)</f>
        <v>199.9999999999999</v>
      </c>
      <c r="P66" s="46">
        <f>SUM(P67:P71)</f>
        <v>1250</v>
      </c>
      <c r="Q66" s="46">
        <f>SUM(Q67:Q71)</f>
        <v>1250</v>
      </c>
      <c r="R66" s="46">
        <f>SUM(R67:R71)</f>
        <v>1250</v>
      </c>
      <c r="S66" s="46">
        <f>SUM(S67:S71)</f>
        <v>1250</v>
      </c>
      <c r="T66" s="46">
        <f>SUM(T67:T71)</f>
        <v>199.9999999999999</v>
      </c>
      <c r="U66" s="46">
        <f>SUM(U67:U71)</f>
        <v>199.9999999999999</v>
      </c>
      <c r="V66" s="46">
        <f>SUM(V67:V71)</f>
        <v>1250</v>
      </c>
      <c r="W66" s="46">
        <f>SUM(W67:W71)</f>
        <v>1250</v>
      </c>
      <c r="X66" s="46">
        <f>SUM(X67:X71)</f>
        <v>1250</v>
      </c>
      <c r="Y66" s="46">
        <f>SUM(Y67:Y71)</f>
        <v>1250</v>
      </c>
      <c r="Z66" s="46">
        <f>SUMIF($B$13:$Y$13,"Yes",B66:Y66)</f>
        <v>11000</v>
      </c>
      <c r="AA66" s="46">
        <f>SUM(B66:M66)</f>
        <v>10800</v>
      </c>
      <c r="AB66" s="46">
        <f>SUM(B66:Y66)</f>
        <v>21600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1050</v>
      </c>
      <c r="E67" s="36">
        <f>Q67</f>
        <v>1050</v>
      </c>
      <c r="F67" s="36">
        <f>R67</f>
        <v>1050</v>
      </c>
      <c r="G67" s="36">
        <f>S67</f>
        <v>1050</v>
      </c>
      <c r="H67" s="36">
        <f>T67</f>
        <v>0</v>
      </c>
      <c r="I67" s="36">
        <f>U67</f>
        <v>0</v>
      </c>
      <c r="J67" s="36">
        <f>V67</f>
        <v>1050</v>
      </c>
      <c r="K67" s="36">
        <f>W67</f>
        <v>1050</v>
      </c>
      <c r="L67" s="36">
        <f>X67</f>
        <v>1050</v>
      </c>
      <c r="M67" s="36">
        <f>Y67</f>
        <v>1050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1050</v>
      </c>
      <c r="Z67" s="46">
        <f>SUMIF($B$13:$Y$13,"Yes",B67:Y67)</f>
        <v>8399.999999999998</v>
      </c>
      <c r="AA67" s="46">
        <f>SUM(B67:M67)</f>
        <v>8399.999999999998</v>
      </c>
      <c r="AB67" s="46">
        <f>SUM(B67:Y67)</f>
        <v>16800</v>
      </c>
    </row>
    <row r="68" spans="1:30" hidden="true" outlineLevel="1">
      <c r="A68" s="181" t="str">
        <f>Calculations!$A$5</f>
        <v>Tea</v>
      </c>
      <c r="B68" s="36">
        <f>N68</f>
        <v>199.9999999999999</v>
      </c>
      <c r="C68" s="36">
        <f>O68</f>
        <v>199.9999999999999</v>
      </c>
      <c r="D68" s="36">
        <f>P68</f>
        <v>199.9999999999999</v>
      </c>
      <c r="E68" s="36">
        <f>Q68</f>
        <v>199.9999999999999</v>
      </c>
      <c r="F68" s="36">
        <f>R68</f>
        <v>199.9999999999999</v>
      </c>
      <c r="G68" s="36">
        <f>S68</f>
        <v>199.9999999999999</v>
      </c>
      <c r="H68" s="36">
        <f>T68</f>
        <v>199.9999999999999</v>
      </c>
      <c r="I68" s="36">
        <f>U68</f>
        <v>199.9999999999999</v>
      </c>
      <c r="J68" s="36">
        <f>V68</f>
        <v>199.9999999999999</v>
      </c>
      <c r="K68" s="36">
        <f>W68</f>
        <v>199.9999999999999</v>
      </c>
      <c r="L68" s="36">
        <f>X68</f>
        <v>199.9999999999999</v>
      </c>
      <c r="M68" s="36">
        <f>Y68</f>
        <v>199.9999999999999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199.9999999999999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199.9999999999999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199.9999999999999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199.9999999999999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199.9999999999999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199.9999999999999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199.9999999999999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199.9999999999999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199.9999999999999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199.9999999999999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199.9999999999999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199.9999999999999</v>
      </c>
      <c r="Z68" s="46">
        <f>SUMIF($B$13:$Y$13,"Yes",B68:Y68)</f>
        <v>2600</v>
      </c>
      <c r="AA68" s="46">
        <f>SUM(B68:M68)</f>
        <v>2400</v>
      </c>
      <c r="AB68" s="46">
        <f>SUM(B68:Y68)</f>
        <v>4799.999999999999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25245.83333333333</v>
      </c>
      <c r="C74" s="46">
        <f>SUM(Calculations!$Q$14:$Q$16)/12</f>
        <v>25245.83333333333</v>
      </c>
      <c r="D74" s="46">
        <f>SUM(Calculations!$Q$14:$Q$16)/12</f>
        <v>25245.83333333333</v>
      </c>
      <c r="E74" s="46">
        <f>SUM(Calculations!$Q$14:$Q$16)/12</f>
        <v>25245.83333333333</v>
      </c>
      <c r="F74" s="46">
        <f>SUM(Calculations!$Q$14:$Q$16)/12</f>
        <v>25245.83333333333</v>
      </c>
      <c r="G74" s="46">
        <f>SUM(Calculations!$Q$14:$Q$16)/12</f>
        <v>25245.83333333333</v>
      </c>
      <c r="H74" s="46">
        <f>SUM(Calculations!$Q$14:$Q$16)/12</f>
        <v>25245.83333333333</v>
      </c>
      <c r="I74" s="46">
        <f>SUM(Calculations!$Q$14:$Q$16)/12</f>
        <v>25245.83333333333</v>
      </c>
      <c r="J74" s="46">
        <f>SUM(Calculations!$Q$14:$Q$16)/12</f>
        <v>25245.83333333333</v>
      </c>
      <c r="K74" s="46">
        <f>SUM(Calculations!$Q$14:$Q$16)/12</f>
        <v>25245.83333333333</v>
      </c>
      <c r="L74" s="46">
        <f>SUM(Calculations!$Q$14:$Q$16)/12</f>
        <v>25245.83333333333</v>
      </c>
      <c r="M74" s="46">
        <f>SUM(Calculations!$Q$14:$Q$16)/12</f>
        <v>25245.83333333333</v>
      </c>
      <c r="N74" s="46">
        <f>SUM(Calculations!$Q$14:$Q$16)/12</f>
        <v>25245.83333333333</v>
      </c>
      <c r="O74" s="46">
        <f>SUM(Calculations!$Q$14:$Q$16)/12</f>
        <v>25245.83333333333</v>
      </c>
      <c r="P74" s="46">
        <f>SUM(Calculations!$Q$14:$Q$16)/12</f>
        <v>25245.83333333333</v>
      </c>
      <c r="Q74" s="46">
        <f>SUM(Calculations!$Q$14:$Q$16)/12</f>
        <v>25245.83333333333</v>
      </c>
      <c r="R74" s="46">
        <f>SUM(Calculations!$Q$14:$Q$16)/12</f>
        <v>25245.83333333333</v>
      </c>
      <c r="S74" s="46">
        <f>SUM(Calculations!$Q$14:$Q$16)/12</f>
        <v>25245.83333333333</v>
      </c>
      <c r="T74" s="46">
        <f>SUM(Calculations!$Q$14:$Q$16)/12</f>
        <v>25245.83333333333</v>
      </c>
      <c r="U74" s="46">
        <f>SUM(Calculations!$Q$14:$Q$16)/12</f>
        <v>25245.83333333333</v>
      </c>
      <c r="V74" s="46">
        <f>SUM(Calculations!$Q$14:$Q$16)/12</f>
        <v>25245.83333333333</v>
      </c>
      <c r="W74" s="46">
        <f>SUM(Calculations!$Q$14:$Q$16)/12</f>
        <v>25245.83333333333</v>
      </c>
      <c r="X74" s="46">
        <f>SUM(Calculations!$Q$14:$Q$16)/12</f>
        <v>25245.83333333333</v>
      </c>
      <c r="Y74" s="46">
        <f>SUM(Calculations!$Q$14:$Q$16)/12</f>
        <v>25245.83333333333</v>
      </c>
      <c r="Z74" s="46">
        <f>SUMIF($B$13:$Y$13,"Yes",B74:Y74)</f>
        <v>328195.8333333333</v>
      </c>
      <c r="AA74" s="46">
        <f>SUM(B74:M74)</f>
        <v>302950</v>
      </c>
      <c r="AB74" s="46">
        <f>SUM(B74:Y74)</f>
        <v>605900</v>
      </c>
    </row>
    <row r="75" spans="1:30">
      <c r="A75" s="16" t="s">
        <v>47</v>
      </c>
      <c r="B75" s="46">
        <f>SUM(Calculations!$R$14:$R$16)/12</f>
        <v>1233.333333333333</v>
      </c>
      <c r="C75" s="46">
        <f>SUM(Calculations!$R$14:$R$16)/12</f>
        <v>1233.333333333333</v>
      </c>
      <c r="D75" s="46">
        <f>SUM(Calculations!$R$14:$R$16)/12</f>
        <v>1233.333333333333</v>
      </c>
      <c r="E75" s="46">
        <f>SUM(Calculations!$R$14:$R$16)/12</f>
        <v>1233.333333333333</v>
      </c>
      <c r="F75" s="46">
        <f>SUM(Calculations!$R$14:$R$16)/12</f>
        <v>1233.333333333333</v>
      </c>
      <c r="G75" s="46">
        <f>SUM(Calculations!$R$14:$R$16)/12</f>
        <v>1233.333333333333</v>
      </c>
      <c r="H75" s="46">
        <f>SUM(Calculations!$R$14:$R$16)/12</f>
        <v>1233.333333333333</v>
      </c>
      <c r="I75" s="46">
        <f>SUM(Calculations!$R$14:$R$16)/12</f>
        <v>1233.333333333333</v>
      </c>
      <c r="J75" s="46">
        <f>SUM(Calculations!$R$14:$R$16)/12</f>
        <v>1233.333333333333</v>
      </c>
      <c r="K75" s="46">
        <f>SUM(Calculations!$R$14:$R$16)/12</f>
        <v>1233.333333333333</v>
      </c>
      <c r="L75" s="46">
        <f>SUM(Calculations!$R$14:$R$16)/12</f>
        <v>1233.333333333333</v>
      </c>
      <c r="M75" s="46">
        <f>SUM(Calculations!$R$14:$R$16)/12</f>
        <v>1233.333333333333</v>
      </c>
      <c r="N75" s="46">
        <f>SUM(Calculations!$R$14:$R$16)/12</f>
        <v>1233.333333333333</v>
      </c>
      <c r="O75" s="46">
        <f>SUM(Calculations!$R$14:$R$16)/12</f>
        <v>1233.333333333333</v>
      </c>
      <c r="P75" s="46">
        <f>SUM(Calculations!$R$14:$R$16)/12</f>
        <v>1233.333333333333</v>
      </c>
      <c r="Q75" s="46">
        <f>SUM(Calculations!$R$14:$R$16)/12</f>
        <v>1233.333333333333</v>
      </c>
      <c r="R75" s="46">
        <f>SUM(Calculations!$R$14:$R$16)/12</f>
        <v>1233.333333333333</v>
      </c>
      <c r="S75" s="46">
        <f>SUM(Calculations!$R$14:$R$16)/12</f>
        <v>1233.333333333333</v>
      </c>
      <c r="T75" s="46">
        <f>SUM(Calculations!$R$14:$R$16)/12</f>
        <v>1233.333333333333</v>
      </c>
      <c r="U75" s="46">
        <f>SUM(Calculations!$R$14:$R$16)/12</f>
        <v>1233.333333333333</v>
      </c>
      <c r="V75" s="46">
        <f>SUM(Calculations!$R$14:$R$16)/12</f>
        <v>1233.333333333333</v>
      </c>
      <c r="W75" s="46">
        <f>SUM(Calculations!$R$14:$R$16)/12</f>
        <v>1233.333333333333</v>
      </c>
      <c r="X75" s="46">
        <f>SUM(Calculations!$R$14:$R$16)/12</f>
        <v>1233.333333333333</v>
      </c>
      <c r="Y75" s="46">
        <f>SUM(Calculations!$R$14:$R$16)/12</f>
        <v>1233.333333333333</v>
      </c>
      <c r="Z75" s="46">
        <f>SUMIF($B$13:$Y$13,"Yes",B75:Y75)</f>
        <v>16033.33333333334</v>
      </c>
      <c r="AA75" s="46">
        <f>SUM(B75:M75)</f>
        <v>14800</v>
      </c>
      <c r="AB75" s="46">
        <f>SUM(B75:Y75)</f>
        <v>29599.99999999999</v>
      </c>
    </row>
    <row r="76" spans="1:30">
      <c r="A76" s="16" t="s">
        <v>48</v>
      </c>
      <c r="B76" s="46">
        <f>SUM(Calculations!$S$14:$S$16)/12</f>
        <v>5500</v>
      </c>
      <c r="C76" s="46">
        <f>SUM(Calculations!$S$14:$S$16)/12</f>
        <v>5500</v>
      </c>
      <c r="D76" s="46">
        <f>SUM(Calculations!$S$14:$S$16)/12</f>
        <v>5500</v>
      </c>
      <c r="E76" s="46">
        <f>SUM(Calculations!$S$14:$S$16)/12</f>
        <v>5500</v>
      </c>
      <c r="F76" s="46">
        <f>SUM(Calculations!$S$14:$S$16)/12</f>
        <v>5500</v>
      </c>
      <c r="G76" s="46">
        <f>SUM(Calculations!$S$14:$S$16)/12</f>
        <v>5500</v>
      </c>
      <c r="H76" s="46">
        <f>SUM(Calculations!$S$14:$S$16)/12</f>
        <v>5500</v>
      </c>
      <c r="I76" s="46">
        <f>SUM(Calculations!$S$14:$S$16)/12</f>
        <v>5500</v>
      </c>
      <c r="J76" s="46">
        <f>SUM(Calculations!$S$14:$S$16)/12</f>
        <v>5500</v>
      </c>
      <c r="K76" s="46">
        <f>SUM(Calculations!$S$14:$S$16)/12</f>
        <v>5500</v>
      </c>
      <c r="L76" s="46">
        <f>SUM(Calculations!$S$14:$S$16)/12</f>
        <v>5500</v>
      </c>
      <c r="M76" s="46">
        <f>SUM(Calculations!$S$14:$S$16)/12</f>
        <v>5500</v>
      </c>
      <c r="N76" s="46">
        <f>SUM(Calculations!$S$14:$S$16)/12</f>
        <v>5500</v>
      </c>
      <c r="O76" s="46">
        <f>SUM(Calculations!$S$14:$S$16)/12</f>
        <v>5500</v>
      </c>
      <c r="P76" s="46">
        <f>SUM(Calculations!$S$14:$S$16)/12</f>
        <v>5500</v>
      </c>
      <c r="Q76" s="46">
        <f>SUM(Calculations!$S$14:$S$16)/12</f>
        <v>5500</v>
      </c>
      <c r="R76" s="46">
        <f>SUM(Calculations!$S$14:$S$16)/12</f>
        <v>5500</v>
      </c>
      <c r="S76" s="46">
        <f>SUM(Calculations!$S$14:$S$16)/12</f>
        <v>5500</v>
      </c>
      <c r="T76" s="46">
        <f>SUM(Calculations!$S$14:$S$16)/12</f>
        <v>5500</v>
      </c>
      <c r="U76" s="46">
        <f>SUM(Calculations!$S$14:$S$16)/12</f>
        <v>5500</v>
      </c>
      <c r="V76" s="46">
        <f>SUM(Calculations!$S$14:$S$16)/12</f>
        <v>5500</v>
      </c>
      <c r="W76" s="46">
        <f>SUM(Calculations!$S$14:$S$16)/12</f>
        <v>5500</v>
      </c>
      <c r="X76" s="46">
        <f>SUM(Calculations!$S$14:$S$16)/12</f>
        <v>5500</v>
      </c>
      <c r="Y76" s="46">
        <f>SUM(Calculations!$S$14:$S$16)/12</f>
        <v>5500</v>
      </c>
      <c r="Z76" s="46">
        <f>SUMIF($B$13:$Y$13,"Yes",B76:Y76)</f>
        <v>71500</v>
      </c>
      <c r="AA76" s="46">
        <f>SUM(B76:M76)</f>
        <v>66000</v>
      </c>
      <c r="AB76" s="46">
        <f>SUM(B76:Y76)</f>
        <v>132000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600000</v>
      </c>
      <c r="C79" s="46">
        <f>Inputs!$B$31</f>
        <v>600000</v>
      </c>
      <c r="D79" s="46">
        <f>Inputs!$B$31</f>
        <v>600000</v>
      </c>
      <c r="E79" s="46">
        <f>Inputs!$B$31</f>
        <v>600000</v>
      </c>
      <c r="F79" s="46">
        <f>Inputs!$B$31</f>
        <v>600000</v>
      </c>
      <c r="G79" s="46">
        <f>Inputs!$B$31</f>
        <v>600000</v>
      </c>
      <c r="H79" s="46">
        <f>Inputs!$B$31</f>
        <v>600000</v>
      </c>
      <c r="I79" s="46">
        <f>Inputs!$B$31</f>
        <v>600000</v>
      </c>
      <c r="J79" s="46">
        <f>Inputs!$B$31</f>
        <v>600000</v>
      </c>
      <c r="K79" s="46">
        <f>Inputs!$B$31</f>
        <v>600000</v>
      </c>
      <c r="L79" s="46">
        <f>Inputs!$B$31</f>
        <v>600000</v>
      </c>
      <c r="M79" s="46">
        <f>Inputs!$B$31</f>
        <v>600000</v>
      </c>
      <c r="N79" s="46">
        <f>Inputs!$B$31</f>
        <v>600000</v>
      </c>
      <c r="O79" s="46">
        <f>Inputs!$B$31</f>
        <v>600000</v>
      </c>
      <c r="P79" s="46">
        <f>Inputs!$B$31</f>
        <v>600000</v>
      </c>
      <c r="Q79" s="46">
        <f>Inputs!$B$31</f>
        <v>600000</v>
      </c>
      <c r="R79" s="46">
        <f>Inputs!$B$31</f>
        <v>600000</v>
      </c>
      <c r="S79" s="46">
        <f>Inputs!$B$31</f>
        <v>600000</v>
      </c>
      <c r="T79" s="46">
        <f>Inputs!$B$31</f>
        <v>600000</v>
      </c>
      <c r="U79" s="46">
        <f>Inputs!$B$31</f>
        <v>600000</v>
      </c>
      <c r="V79" s="46">
        <f>Inputs!$B$31</f>
        <v>600000</v>
      </c>
      <c r="W79" s="46">
        <f>Inputs!$B$31</f>
        <v>600000</v>
      </c>
      <c r="X79" s="46">
        <f>Inputs!$B$31</f>
        <v>600000</v>
      </c>
      <c r="Y79" s="46">
        <f>Inputs!$B$31</f>
        <v>600000</v>
      </c>
      <c r="Z79" s="46">
        <f>SUMIF($B$13:$Y$13,"Yes",B79:Y79)</f>
        <v>7800000</v>
      </c>
      <c r="AA79" s="46">
        <f>SUM(B79:M79)</f>
        <v>7200000</v>
      </c>
      <c r="AB79" s="46">
        <f>SUM(B79:Y79)</f>
        <v>14400000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217641.8525605994</v>
      </c>
      <c r="C81" s="46">
        <f>(SUM($AA$18:$AA$29)-SUM($AA$36,$AA$42,$AA$48,$AA$54,$AA$60,$AA$66,$AA$72:$AA$79))*Parameters!$B$37/12</f>
        <v>217641.8525605994</v>
      </c>
      <c r="D81" s="46">
        <f>(SUM($AA$18:$AA$29)-SUM($AA$36,$AA$42,$AA$48,$AA$54,$AA$60,$AA$66,$AA$72:$AA$79))*Parameters!$B$37/12</f>
        <v>217641.8525605994</v>
      </c>
      <c r="E81" s="46">
        <f>(SUM($AA$18:$AA$29)-SUM($AA$36,$AA$42,$AA$48,$AA$54,$AA$60,$AA$66,$AA$72:$AA$79))*Parameters!$B$37/12</f>
        <v>217641.8525605994</v>
      </c>
      <c r="F81" s="46">
        <f>(SUM($AA$18:$AA$29)-SUM($AA$36,$AA$42,$AA$48,$AA$54,$AA$60,$AA$66,$AA$72:$AA$79))*Parameters!$B$37/12</f>
        <v>217641.8525605994</v>
      </c>
      <c r="G81" s="46">
        <f>(SUM($AA$18:$AA$29)-SUM($AA$36,$AA$42,$AA$48,$AA$54,$AA$60,$AA$66,$AA$72:$AA$79))*Parameters!$B$37/12</f>
        <v>217641.8525605994</v>
      </c>
      <c r="H81" s="46">
        <f>(SUM($AA$18:$AA$29)-SUM($AA$36,$AA$42,$AA$48,$AA$54,$AA$60,$AA$66,$AA$72:$AA$79))*Parameters!$B$37/12</f>
        <v>217641.8525605994</v>
      </c>
      <c r="I81" s="46">
        <f>(SUM($AA$18:$AA$29)-SUM($AA$36,$AA$42,$AA$48,$AA$54,$AA$60,$AA$66,$AA$72:$AA$79))*Parameters!$B$37/12</f>
        <v>217641.8525605994</v>
      </c>
      <c r="J81" s="46">
        <f>(SUM($AA$18:$AA$29)-SUM($AA$36,$AA$42,$AA$48,$AA$54,$AA$60,$AA$66,$AA$72:$AA$79))*Parameters!$B$37/12</f>
        <v>217641.8525605994</v>
      </c>
      <c r="K81" s="46">
        <f>(SUM($AA$18:$AA$29)-SUM($AA$36,$AA$42,$AA$48,$AA$54,$AA$60,$AA$66,$AA$72:$AA$79))*Parameters!$B$37/12</f>
        <v>217641.8525605994</v>
      </c>
      <c r="L81" s="46">
        <f>(SUM($AA$18:$AA$29)-SUM($AA$36,$AA$42,$AA$48,$AA$54,$AA$60,$AA$66,$AA$72:$AA$79))*Parameters!$B$37/12</f>
        <v>217641.8525605994</v>
      </c>
      <c r="M81" s="46">
        <f>(SUM($AA$18:$AA$29)-SUM($AA$36,$AA$42,$AA$48,$AA$54,$AA$60,$AA$66,$AA$72:$AA$79))*Parameters!$B$37/12</f>
        <v>217641.8525605994</v>
      </c>
      <c r="N81" s="46">
        <f>(SUM($AA$18:$AA$29)-SUM($AA$36,$AA$42,$AA$48,$AA$54,$AA$60,$AA$66,$AA$72:$AA$79))*Parameters!$B$37/12</f>
        <v>217641.8525605994</v>
      </c>
      <c r="O81" s="46">
        <f>(SUM($AA$18:$AA$29)-SUM($AA$36,$AA$42,$AA$48,$AA$54,$AA$60,$AA$66,$AA$72:$AA$79))*Parameters!$B$37/12</f>
        <v>217641.8525605994</v>
      </c>
      <c r="P81" s="46">
        <f>(SUM($AA$18:$AA$29)-SUM($AA$36,$AA$42,$AA$48,$AA$54,$AA$60,$AA$66,$AA$72:$AA$79))*Parameters!$B$37/12</f>
        <v>217641.8525605994</v>
      </c>
      <c r="Q81" s="46">
        <f>(SUM($AA$18:$AA$29)-SUM($AA$36,$AA$42,$AA$48,$AA$54,$AA$60,$AA$66,$AA$72:$AA$79))*Parameters!$B$37/12</f>
        <v>217641.8525605994</v>
      </c>
      <c r="R81" s="46">
        <f>(SUM($AA$18:$AA$29)-SUM($AA$36,$AA$42,$AA$48,$AA$54,$AA$60,$AA$66,$AA$72:$AA$79))*Parameters!$B$37/12</f>
        <v>217641.8525605994</v>
      </c>
      <c r="S81" s="46">
        <f>(SUM($AA$18:$AA$29)-SUM($AA$36,$AA$42,$AA$48,$AA$54,$AA$60,$AA$66,$AA$72:$AA$79))*Parameters!$B$37/12</f>
        <v>217641.8525605994</v>
      </c>
      <c r="T81" s="46">
        <f>(SUM($AA$18:$AA$29)-SUM($AA$36,$AA$42,$AA$48,$AA$54,$AA$60,$AA$66,$AA$72:$AA$79))*Parameters!$B$37/12</f>
        <v>217641.8525605994</v>
      </c>
      <c r="U81" s="46">
        <f>(SUM($AA$18:$AA$29)-SUM($AA$36,$AA$42,$AA$48,$AA$54,$AA$60,$AA$66,$AA$72:$AA$79))*Parameters!$B$37/12</f>
        <v>217641.8525605994</v>
      </c>
      <c r="V81" s="46">
        <f>(SUM($AA$18:$AA$29)-SUM($AA$36,$AA$42,$AA$48,$AA$54,$AA$60,$AA$66,$AA$72:$AA$79))*Parameters!$B$37/12</f>
        <v>217641.8525605994</v>
      </c>
      <c r="W81" s="46">
        <f>(SUM($AA$18:$AA$29)-SUM($AA$36,$AA$42,$AA$48,$AA$54,$AA$60,$AA$66,$AA$72:$AA$79))*Parameters!$B$37/12</f>
        <v>217641.8525605994</v>
      </c>
      <c r="X81" s="46">
        <f>(SUM($AA$18:$AA$29)-SUM($AA$36,$AA$42,$AA$48,$AA$54,$AA$60,$AA$66,$AA$72:$AA$79))*Parameters!$B$37/12</f>
        <v>217641.8525605994</v>
      </c>
      <c r="Y81" s="46">
        <f>(SUM($AA$18:$AA$29)-SUM($AA$36,$AA$42,$AA$48,$AA$54,$AA$60,$AA$66,$AA$72:$AA$79))*Parameters!$B$37/12</f>
        <v>217641.8525605994</v>
      </c>
      <c r="Z81" s="46">
        <f>SUMIF($B$13:$Y$13,"Yes",B81:Y81)</f>
        <v>2829344.083287792</v>
      </c>
      <c r="AA81" s="46">
        <f>SUM(B81:M81)</f>
        <v>2611702.230727192</v>
      </c>
      <c r="AB81" s="46">
        <f>SUM(B81:Y81)</f>
        <v>5223404.461454385</v>
      </c>
    </row>
    <row r="82" spans="1:30">
      <c r="A82" s="16" t="s">
        <v>52</v>
      </c>
      <c r="B82" s="46">
        <f>SUM(B83:B87)</f>
        <v>127058.2922824302</v>
      </c>
      <c r="C82" s="46">
        <f>SUM(C83:C87)</f>
        <v>127058.2922824302</v>
      </c>
      <c r="D82" s="46">
        <f>SUM(D83:D87)</f>
        <v>127058.2922824302</v>
      </c>
      <c r="E82" s="46">
        <f>SUM(E83:E87)</f>
        <v>127058.2922824302</v>
      </c>
      <c r="F82" s="46">
        <f>SUM(F83:F87)</f>
        <v>127058.2922824302</v>
      </c>
      <c r="G82" s="46">
        <f>SUM(G83:G87)</f>
        <v>127058.2922824302</v>
      </c>
      <c r="H82" s="46">
        <f>SUM(H83:H87)</f>
        <v>127058.2922824302</v>
      </c>
      <c r="I82" s="46">
        <f>SUM(I83:I87)</f>
        <v>127058.2922824302</v>
      </c>
      <c r="J82" s="46">
        <f>SUM(J83:J87)</f>
        <v>127058.2922824302</v>
      </c>
      <c r="K82" s="46">
        <f>SUM(K83:K87)</f>
        <v>127058.2922824302</v>
      </c>
      <c r="L82" s="46">
        <f>SUM(L83:L87)</f>
        <v>127058.2922824302</v>
      </c>
      <c r="M82" s="46">
        <f>SUM(M83:M87)</f>
        <v>127058.2922824302</v>
      </c>
      <c r="N82" s="46">
        <f>SUM(N83:N87)</f>
        <v>127058.2922824302</v>
      </c>
      <c r="O82" s="46">
        <f>SUM(O83:O87)</f>
        <v>127058.2922824302</v>
      </c>
      <c r="P82" s="46">
        <f>SUM(P83:P87)</f>
        <v>127058.2922824302</v>
      </c>
      <c r="Q82" s="46">
        <f>SUM(Q83:Q87)</f>
        <v>127058.2922824302</v>
      </c>
      <c r="R82" s="46">
        <f>SUM(R83:R87)</f>
        <v>127058.2922824302</v>
      </c>
      <c r="S82" s="46">
        <f>SUM(S83:S87)</f>
        <v>127058.2922824302</v>
      </c>
      <c r="T82" s="46">
        <f>SUM(T83:T87)</f>
        <v>127058.2922824302</v>
      </c>
      <c r="U82" s="46">
        <f>SUM(U83:U87)</f>
        <v>127058.2922824302</v>
      </c>
      <c r="V82" s="46">
        <f>SUM(V83:V87)</f>
        <v>127058.2922824302</v>
      </c>
      <c r="W82" s="46">
        <f>SUM(W83:W87)</f>
        <v>127058.2922824302</v>
      </c>
      <c r="X82" s="46">
        <f>SUM(X83:X87)</f>
        <v>127058.2922824302</v>
      </c>
      <c r="Y82" s="46">
        <f>SUM(Y83:Y87)</f>
        <v>127058.2922824302</v>
      </c>
      <c r="Z82" s="46">
        <f>SUMIF($B$13:$Y$13,"Yes",B82:Y82)</f>
        <v>1651757.799671593</v>
      </c>
      <c r="AA82" s="46">
        <f>SUM(B82:M82)</f>
        <v>1524699.507389163</v>
      </c>
      <c r="AB82" s="46">
        <f>SUM(B82:Y82)</f>
        <v>3049399.014778327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127058.2922824302</v>
      </c>
      <c r="C83" s="46">
        <f>IF(Calculations!$E23&gt;COUNT(Output!$B$35:C$35),Calculations!$B23,IF(Calculations!$E23=COUNT(Output!$B$35:C$35),Inputs!$B56-Calculations!$C23*(Calculations!$E23-1)+Calculations!$D23,0))</f>
        <v>127058.2922824302</v>
      </c>
      <c r="D83" s="46">
        <f>IF(Calculations!$E23&gt;COUNT(Output!$B$35:D$35),Calculations!$B23,IF(Calculations!$E23=COUNT(Output!$B$35:D$35),Inputs!$B56-Calculations!$C23*(Calculations!$E23-1)+Calculations!$D23,0))</f>
        <v>127058.2922824302</v>
      </c>
      <c r="E83" s="46">
        <f>IF(Calculations!$E23&gt;COUNT(Output!$B$35:E$35),Calculations!$B23,IF(Calculations!$E23=COUNT(Output!$B$35:E$35),Inputs!$B56-Calculations!$C23*(Calculations!$E23-1)+Calculations!$D23,0))</f>
        <v>127058.2922824302</v>
      </c>
      <c r="F83" s="46">
        <f>IF(Calculations!$E23&gt;COUNT(Output!$B$35:F$35),Calculations!$B23,IF(Calculations!$E23=COUNT(Output!$B$35:F$35),Inputs!$B56-Calculations!$C23*(Calculations!$E23-1)+Calculations!$D23,0))</f>
        <v>127058.2922824302</v>
      </c>
      <c r="G83" s="46">
        <f>IF(Calculations!$E23&gt;COUNT(Output!$B$35:G$35),Calculations!$B23,IF(Calculations!$E23=COUNT(Output!$B$35:G$35),Inputs!$B56-Calculations!$C23*(Calculations!$E23-1)+Calculations!$D23,0))</f>
        <v>127058.2922824302</v>
      </c>
      <c r="H83" s="46">
        <f>IF(Calculations!$E23&gt;COUNT(Output!$B$35:H$35),Calculations!$B23,IF(Calculations!$E23=COUNT(Output!$B$35:H$35),Inputs!$B56-Calculations!$C23*(Calculations!$E23-1)+Calculations!$D23,0))</f>
        <v>127058.2922824302</v>
      </c>
      <c r="I83" s="46">
        <f>IF(Calculations!$E23&gt;COUNT(Output!$B$35:I$35),Calculations!$B23,IF(Calculations!$E23=COUNT(Output!$B$35:I$35),Inputs!$B56-Calculations!$C23*(Calculations!$E23-1)+Calculations!$D23,0))</f>
        <v>127058.2922824302</v>
      </c>
      <c r="J83" s="46">
        <f>IF(Calculations!$E23&gt;COUNT(Output!$B$35:J$35),Calculations!$B23,IF(Calculations!$E23=COUNT(Output!$B$35:J$35),Inputs!$B56-Calculations!$C23*(Calculations!$E23-1)+Calculations!$D23,0))</f>
        <v>127058.2922824302</v>
      </c>
      <c r="K83" s="46">
        <f>IF(Calculations!$E23&gt;COUNT(Output!$B$35:K$35),Calculations!$B23,IF(Calculations!$E23=COUNT(Output!$B$35:K$35),Inputs!$B56-Calculations!$C23*(Calculations!$E23-1)+Calculations!$D23,0))</f>
        <v>127058.2922824302</v>
      </c>
      <c r="L83" s="46">
        <f>IF(Calculations!$E23&gt;COUNT(Output!$B$35:L$35),Calculations!$B23,IF(Calculations!$E23=COUNT(Output!$B$35:L$35),Inputs!$B56-Calculations!$C23*(Calculations!$E23-1)+Calculations!$D23,0))</f>
        <v>127058.2922824302</v>
      </c>
      <c r="M83" s="46">
        <f>IF(Calculations!$E23&gt;COUNT(Output!$B$35:M$35),Calculations!$B23,IF(Calculations!$E23=COUNT(Output!$B$35:M$35),Inputs!$B56-Calculations!$C23*(Calculations!$E23-1)+Calculations!$D23,0))</f>
        <v>127058.2922824302</v>
      </c>
      <c r="N83" s="46">
        <f>IF(Calculations!$E23&gt;COUNT(Output!$B$35:N$35),Calculations!$B23,IF(Calculations!$E23=COUNT(Output!$B$35:N$35),Inputs!$B56-Calculations!$C23*(Calculations!$E23-1)+Calculations!$D23,0))</f>
        <v>127058.2922824302</v>
      </c>
      <c r="O83" s="46">
        <f>IF(Calculations!$E23&gt;COUNT(Output!$B$35:O$35),Calculations!$B23,IF(Calculations!$E23=COUNT(Output!$B$35:O$35),Inputs!$B56-Calculations!$C23*(Calculations!$E23-1)+Calculations!$D23,0))</f>
        <v>127058.2922824302</v>
      </c>
      <c r="P83" s="46">
        <f>IF(Calculations!$E23&gt;COUNT(Output!$B$35:P$35),Calculations!$B23,IF(Calculations!$E23=COUNT(Output!$B$35:P$35),Inputs!$B56-Calculations!$C23*(Calculations!$E23-1)+Calculations!$D23,0))</f>
        <v>127058.2922824302</v>
      </c>
      <c r="Q83" s="46">
        <f>IF(Calculations!$E23&gt;COUNT(Output!$B$35:Q$35),Calculations!$B23,IF(Calculations!$E23=COUNT(Output!$B$35:Q$35),Inputs!$B56-Calculations!$C23*(Calculations!$E23-1)+Calculations!$D23,0))</f>
        <v>127058.2922824302</v>
      </c>
      <c r="R83" s="46">
        <f>IF(Calculations!$E23&gt;COUNT(Output!$B$35:R$35),Calculations!$B23,IF(Calculations!$E23=COUNT(Output!$B$35:R$35),Inputs!$B56-Calculations!$C23*(Calculations!$E23-1)+Calculations!$D23,0))</f>
        <v>127058.2922824302</v>
      </c>
      <c r="S83" s="46">
        <f>IF(Calculations!$E23&gt;COUNT(Output!$B$35:S$35),Calculations!$B23,IF(Calculations!$E23=COUNT(Output!$B$35:S$35),Inputs!$B56-Calculations!$C23*(Calculations!$E23-1)+Calculations!$D23,0))</f>
        <v>127058.2922824302</v>
      </c>
      <c r="T83" s="46">
        <f>IF(Calculations!$E23&gt;COUNT(Output!$B$35:T$35),Calculations!$B23,IF(Calculations!$E23=COUNT(Output!$B$35:T$35),Inputs!$B56-Calculations!$C23*(Calculations!$E23-1)+Calculations!$D23,0))</f>
        <v>127058.2922824302</v>
      </c>
      <c r="U83" s="46">
        <f>IF(Calculations!$E23&gt;COUNT(Output!$B$35:U$35),Calculations!$B23,IF(Calculations!$E23=COUNT(Output!$B$35:U$35),Inputs!$B56-Calculations!$C23*(Calculations!$E23-1)+Calculations!$D23,0))</f>
        <v>127058.2922824302</v>
      </c>
      <c r="V83" s="46">
        <f>IF(Calculations!$E23&gt;COUNT(Output!$B$35:V$35),Calculations!$B23,IF(Calculations!$E23=COUNT(Output!$B$35:V$35),Inputs!$B56-Calculations!$C23*(Calculations!$E23-1)+Calculations!$D23,0))</f>
        <v>127058.2922824302</v>
      </c>
      <c r="W83" s="46">
        <f>IF(Calculations!$E23&gt;COUNT(Output!$B$35:W$35),Calculations!$B23,IF(Calculations!$E23=COUNT(Output!$B$35:W$35),Inputs!$B56-Calculations!$C23*(Calculations!$E23-1)+Calculations!$D23,0))</f>
        <v>127058.2922824302</v>
      </c>
      <c r="X83" s="46">
        <f>IF(Calculations!$E23&gt;COUNT(Output!$B$35:X$35),Calculations!$B23,IF(Calculations!$E23=COUNT(Output!$B$35:X$35),Inputs!$B56-Calculations!$C23*(Calculations!$E23-1)+Calculations!$D23,0))</f>
        <v>127058.2922824302</v>
      </c>
      <c r="Y83" s="46">
        <f>IF(Calculations!$E23&gt;COUNT(Output!$B$35:Y$35),Calculations!$B23,IF(Calculations!$E23=COUNT(Output!$B$35:Y$35),Inputs!$B56-Calculations!$C23*(Calculations!$E23-1)+Calculations!$D23,0))</f>
        <v>127058.2922824302</v>
      </c>
      <c r="Z83" s="46">
        <f>SUMIF($B$13:$Y$13,"Yes",B83:Y83)</f>
        <v>1651757.799671593</v>
      </c>
      <c r="AA83" s="46">
        <f>SUM(B83:M83)</f>
        <v>1524699.507389163</v>
      </c>
      <c r="AB83" s="46">
        <f>SUM(B83:Y83)</f>
        <v>3049399.014778327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977212.6448430297</v>
      </c>
      <c r="C88" s="19">
        <f>SUM(C72:C82,C66,C60,C54,C48,C42,C36)</f>
        <v>977212.6448430297</v>
      </c>
      <c r="D88" s="19">
        <f>SUM(D72:D82,D66,D60,D54,D48,D42,D36)</f>
        <v>986512.6448430297</v>
      </c>
      <c r="E88" s="19">
        <f>SUM(E72:E82,E66,E60,E54,E48,E42,E36)</f>
        <v>978262.6448430297</v>
      </c>
      <c r="F88" s="19">
        <f>SUM(F72:F82,F66,F60,F54,F48,F42,F36)</f>
        <v>991762.6448430297</v>
      </c>
      <c r="G88" s="19">
        <f>SUM(G72:G82,G66,G60,G54,G48,G42,G36)</f>
        <v>978262.6448430297</v>
      </c>
      <c r="H88" s="19">
        <f>SUM(H72:H82,H66,H60,H54,H48,H42,H36)</f>
        <v>977212.6448430297</v>
      </c>
      <c r="I88" s="19">
        <f>SUM(I72:I82,I66,I60,I54,I48,I42,I36)</f>
        <v>977212.6448430297</v>
      </c>
      <c r="J88" s="19">
        <f>SUM(J72:J82,J66,J60,J54,J48,J42,J36)</f>
        <v>986512.6448430297</v>
      </c>
      <c r="K88" s="19">
        <f>SUM(K72:K82,K66,K60,K54,K48,K42,K36)</f>
        <v>980262.6448430297</v>
      </c>
      <c r="L88" s="19">
        <f>SUM(L72:L82,L66,L60,L54,L48,L42,L36)</f>
        <v>991762.6448430297</v>
      </c>
      <c r="M88" s="19">
        <f>SUM(M72:M82,M66,M60,M54,M48,M42,M36)</f>
        <v>978262.6448430297</v>
      </c>
      <c r="N88" s="19">
        <f>SUM(N72:N82,N66,N60,N54,N48,N42,N36)</f>
        <v>977212.6448430297</v>
      </c>
      <c r="O88" s="19">
        <f>SUM(O72:O82,O66,O60,O54,O48,O42,O36)</f>
        <v>977212.6448430297</v>
      </c>
      <c r="P88" s="19">
        <f>SUM(P72:P82,P66,P60,P54,P48,P42,P36)</f>
        <v>986512.6448430297</v>
      </c>
      <c r="Q88" s="19">
        <f>SUM(Q72:Q82,Q66,Q60,Q54,Q48,Q42,Q36)</f>
        <v>978262.6448430297</v>
      </c>
      <c r="R88" s="19">
        <f>SUM(R72:R82,R66,R60,R54,R48,R42,R36)</f>
        <v>991762.6448430297</v>
      </c>
      <c r="S88" s="19">
        <f>SUM(S72:S82,S66,S60,S54,S48,S42,S36)</f>
        <v>978262.6448430297</v>
      </c>
      <c r="T88" s="19">
        <f>SUM(T72:T82,T66,T60,T54,T48,T42,T36)</f>
        <v>977212.6448430297</v>
      </c>
      <c r="U88" s="19">
        <f>SUM(U72:U82,U66,U60,U54,U48,U42,U36)</f>
        <v>977212.6448430297</v>
      </c>
      <c r="V88" s="19">
        <f>SUM(V72:V82,V66,V60,V54,V48,V42,V36)</f>
        <v>986512.6448430297</v>
      </c>
      <c r="W88" s="19">
        <f>SUM(W72:W82,W66,W60,W54,W48,W42,W36)</f>
        <v>980262.6448430297</v>
      </c>
      <c r="X88" s="19">
        <f>SUM(X72:X82,X66,X60,X54,X48,X42,X36)</f>
        <v>991762.6448430297</v>
      </c>
      <c r="Y88" s="19">
        <f>SUM(Y72:Y82,Y66,Y60,Y54,Y48,Y42,Y36)</f>
        <v>978262.6448430297</v>
      </c>
      <c r="Z88" s="19">
        <f>SUMIF($B$13:$Y$13,"Yes",B88:Y88)</f>
        <v>12757664.38295938</v>
      </c>
      <c r="AA88" s="19">
        <f>SUM(B88:M88)</f>
        <v>11780451.73811635</v>
      </c>
      <c r="AB88" s="19">
        <f>SUM(B88:Y88)</f>
        <v>23560903.47623271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2372000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26875000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35197000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2400000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2715000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10</v>
      </c>
      <c r="D19" s="145">
        <v>4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6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 t="s">
        <v>114</v>
      </c>
      <c r="B21" s="23"/>
      <c r="C21" s="144">
        <v>6</v>
      </c>
      <c r="D21" s="150">
        <v>6</v>
      </c>
      <c r="E21" s="23"/>
      <c r="F21" s="150" t="s">
        <v>92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80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1000000</v>
      </c>
    </row>
    <row r="31" spans="1:48">
      <c r="A31" s="5" t="s">
        <v>121</v>
      </c>
      <c r="B31" s="158">
        <v>600000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2000000</v>
      </c>
    </row>
    <row r="46" spans="1:48" customHeight="1" ht="30">
      <c r="A46" s="57" t="s">
        <v>135</v>
      </c>
      <c r="B46" s="161">
        <v>500000</v>
      </c>
    </row>
    <row r="47" spans="1:48" customHeight="1" ht="30">
      <c r="A47" s="57" t="s">
        <v>136</v>
      </c>
      <c r="B47" s="161">
        <v>400000</v>
      </c>
    </row>
    <row r="48" spans="1:48" customHeight="1" ht="30">
      <c r="A48" s="57" t="s">
        <v>137</v>
      </c>
      <c r="B48" s="161">
        <v>3000000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15000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2900000</v>
      </c>
      <c r="B56" s="159">
        <v>2400000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151</v>
      </c>
      <c r="C65" s="10" t="s">
        <v>152</v>
      </c>
    </row>
    <row r="66" spans="1:48">
      <c r="A66" s="142" t="s">
        <v>153</v>
      </c>
      <c r="B66" s="159">
        <v>1300000</v>
      </c>
      <c r="C66" s="163">
        <v>1180000</v>
      </c>
      <c r="D66" s="49">
        <f>INDEX(Parameters!$D$79:$D$90,MATCH(Inputs!A66,Parameters!$C$79:$C$90,0))</f>
        <v>3</v>
      </c>
    </row>
    <row r="67" spans="1:48">
      <c r="A67" s="143" t="s">
        <v>154</v>
      </c>
      <c r="B67" s="157">
        <v>2100000</v>
      </c>
      <c r="C67" s="165">
        <v>1900000</v>
      </c>
      <c r="D67" s="49">
        <f>INDEX(Parameters!$D$79:$D$90,MATCH(Inputs!A67,Parameters!$C$79:$C$90,0))</f>
        <v>2</v>
      </c>
    </row>
    <row r="68" spans="1:48">
      <c r="A68" s="143" t="s">
        <v>97</v>
      </c>
      <c r="B68" s="157">
        <v>950000</v>
      </c>
      <c r="C68" s="165">
        <v>840000</v>
      </c>
      <c r="D68" s="49">
        <f>INDEX(Parameters!$D$79:$D$90,MATCH(Inputs!A68,Parameters!$C$79:$C$90,0))</f>
        <v>1</v>
      </c>
    </row>
    <row r="69" spans="1:48">
      <c r="A69" s="143" t="s">
        <v>155</v>
      </c>
      <c r="B69" s="157">
        <v>1250000</v>
      </c>
      <c r="C69" s="165">
        <v>1160000</v>
      </c>
      <c r="D69" s="49">
        <f>INDEX(Parameters!$D$79:$D$90,MATCH(Inputs!A69,Parameters!$C$79:$C$90,0))</f>
        <v>12</v>
      </c>
    </row>
    <row r="70" spans="1:48">
      <c r="A70" s="143" t="s">
        <v>156</v>
      </c>
      <c r="B70" s="157">
        <v>1650000</v>
      </c>
      <c r="C70" s="165">
        <v>1560000</v>
      </c>
      <c r="D70" s="49">
        <f>INDEX(Parameters!$D$79:$D$90,MATCH(Inputs!A70,Parameters!$C$79:$C$90,0))</f>
        <v>11</v>
      </c>
    </row>
    <row r="71" spans="1:48">
      <c r="A71" s="144" t="s">
        <v>157</v>
      </c>
      <c r="B71" s="158">
        <v>1400000</v>
      </c>
      <c r="C71" s="167">
        <v>1320000</v>
      </c>
      <c r="D71" s="49">
        <f>INDEX(Parameters!$D$79:$D$90,MATCH(Inputs!A71,Parameters!$C$79:$C$90,0))</f>
        <v>10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42948</v>
      </c>
      <c r="D4" s="38">
        <f>IFERROR(DATE(YEAR(B4),MONTH(B4)+T4,DAY(B4)),"")</f>
        <v>42979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43132</v>
      </c>
      <c r="G4" s="38">
        <f>IFERROR(IF($S4=0,"",IF($S4=2,DATE(YEAR(D4),MONTH(D4)+6,DAY(D4)),IF($S4=1,D4,""))),"")</f>
        <v>43160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11799.0886001969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825936.2020137828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2250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13500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Tea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940.1663093200297</v>
      </c>
      <c r="M5" s="30">
        <f>L5*H5</f>
        <v>1880.332618640059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57519.3748041994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5.1</v>
      </c>
      <c r="H15" s="121">
        <f>IFERROR(IF(B15="meat",INDEX(Parameters!$A$22:$P$29,MATCH(Calculations!A15,Parameters!$A$22:$A$29,0),MATCH(Parameters!$I$22,Parameters!$A$22:$P$22,0))*G15,""),"")</f>
        <v>509.9999999999999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234599.9999999999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3600</v>
      </c>
      <c r="S15" s="64">
        <f>IFERROR(D15*INDEX(Parameters!$A$22:$P$29,MATCH(Calculations!$A15,Parameters!$A$22:$A$29,0),MATCH(Parameters!$N$22,Parameters!$A$22:$P$22,0)),"")</f>
        <v>4200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2.5</v>
      </c>
      <c r="H16" s="122">
        <f>IFERROR(IF(B16="meat",INDEX(Parameters!$A$22:$P$29,MATCH(Calculations!A16,Parameters!$A$22:$A$29,0),MATCH(Parameters!$I$22,Parameters!$A$22:$P$22,0))*G16,""),"")</f>
        <v>20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15000</v>
      </c>
      <c r="Q16" s="64">
        <f>IFERROR(D16*INDEX(Parameters!$A$22:$P$29,MATCH(Calculations!$A16,Parameters!$A$22:$A$29,0),MATCH(Parameters!$L$22,Parameters!$A$22:$P$22,0))*IF(Inputs!I21="Always",1,IF(Inputs!I21="Sometimes",0.5,0))*365,"")</f>
        <v>10950</v>
      </c>
      <c r="R16" s="64">
        <f>IFERROR(D16*INDEX(Parameters!$A$22:$P$29,MATCH(Calculations!$A16,Parameters!$A$22:$A$29,0),MATCH(Parameters!$M$22,Parameters!$A$22:$P$22,0)),"")</f>
        <v>1200</v>
      </c>
      <c r="S16" s="64">
        <f>IFERROR(D16*INDEX(Parameters!$A$22:$P$29,MATCH(Calculations!$A16,Parameters!$A$22:$A$29,0),MATCH(Parameters!$N$22,Parameters!$A$22:$P$22,0)),"")</f>
        <v>1800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2.5</v>
      </c>
      <c r="H17" s="123">
        <f>IFERROR(IF(B17="meat",INDEX(Parameters!$A$22:$P$29,MATCH(Calculations!A17,Parameters!$A$22:$A$29,0),MATCH(Parameters!$I$22,Parameters!$A$22:$P$22,0))*G17,""),"")</f>
        <v>20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2900000</v>
      </c>
      <c r="B23" s="75">
        <f>SUM(C23:D23)</f>
        <v>127058.2922824302</v>
      </c>
      <c r="C23" s="75">
        <f>IF(Inputs!B56&gt;0,(Inputs!A56-Inputs!B56)/(DATE(YEAR(Inputs!$B$76),MONTH(Inputs!$B$76),DAY(Inputs!$B$76))-DATE(YEAR(Inputs!C56),MONTH(Inputs!C56),DAY(Inputs!C56)))*30,0)</f>
        <v>73891.62561576355</v>
      </c>
      <c r="D23" s="75">
        <f>IF(Inputs!B56&gt;0,Inputs!A56*0.22/12,0)</f>
        <v>53166.66666666666</v>
      </c>
      <c r="E23" s="75">
        <f>IFERROR(ROUNDUP(Inputs!B56/C23,0),0)</f>
        <v>33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42886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42856</v>
      </c>
      <c r="F33" t="s">
        <v>163</v>
      </c>
      <c r="G33" s="128">
        <f>IF(Inputs!B79="","",DATE(YEAR(Inputs!B79),MONTH(Inputs!B79),DAY(Inputs!B79)))</f>
        <v>42844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42914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42887</v>
      </c>
      <c r="F34" t="s">
        <v>164</v>
      </c>
      <c r="G34" s="128">
        <f>IF(Inputs!B80="","",DATE(YEAR(Inputs!B80),MONTH(Inputs!B80),DAY(Inputs!B80)))</f>
        <v>42886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42944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42917</v>
      </c>
      <c r="F35" t="s">
        <v>166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42975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42948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43006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42979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43036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43009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43067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43040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43097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43070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43128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43101</v>
      </c>
      <c r="F41" t="s">
        <v>230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43159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43132</v>
      </c>
      <c r="F42" t="s">
        <v>231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43187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43218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114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114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314</v>
      </c>
      <c r="H52" s="12" t="s">
        <v>315</v>
      </c>
      <c r="I52" s="12" t="s">
        <v>132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232</v>
      </c>
      <c r="E53" s="10" t="s">
        <v>191</v>
      </c>
      <c r="F53" s="10" t="s">
        <v>251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169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228</v>
      </c>
      <c r="J76" s="11" t="s">
        <v>348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315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132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358</v>
      </c>
      <c r="F79" s="12" t="s">
        <v>359</v>
      </c>
      <c r="G79" s="12" t="s">
        <v>112</v>
      </c>
      <c r="I79" s="12" t="s">
        <v>169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361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