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<sst xmlns="http://schemas.openxmlformats.org/spreadsheetml/2006/main" uniqueCount="373">
  <si>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</si>
  <si>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</si>
  <si>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</si>
  <si>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</si>
  <si>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</si>
  <si>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</si>
  <si>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</si>
  <si>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</si>
  <si>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</si>
  <si>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</si>
  <si>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</si>
  <si>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</si>
  <si>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</si>
  <si>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</si>
  <si>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</si>
  <si>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</si>
  <si>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</si>
  <si>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</si>
  <si>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</si>
  <si>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</si>
  <si>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</si>
  <si>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</si>
  <si>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</si>
  <si>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</si>
  <si>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</si>
  <si>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</si>
  <si>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</si>
  <si>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</si>
  <si>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</si>
  <si>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</si>
  <si>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</si>
  <si>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</si>
  <si>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</si>
  <si>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</si>
  <si>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</si>
  <si>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</si>
  <si>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</si>
  <si>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</si>
  <si>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</si>
  <si>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</si>
  <si>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</si>
  <si>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</si>
  <si>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</si>
  <si>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</si>
  <si>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</si>
  <si>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</si>
  <si>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</si>
  <si>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</si>
  <si>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</si>
  <si>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</si>
  <si>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</si>
  <si>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</si>
  <si>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</si>
  <si>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</si>
  <si>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</si>
  <si>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</si>
  <si>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</si>
  <si>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</si>
  <si>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</si>
  <si>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</si>
  <si>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</si>
  <si>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</si>
  <si>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</si>
  <si>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</si>
  <si>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</si>
  <si>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</si>
  <si>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</si>
  <si>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</si>
  <si>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</si>
  <si>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</si>
  <si>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</si>
  <si>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</si>
  <si>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</si>
  <si>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</si>
  <si>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</si>
  <si>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</si>
  <si>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</si>
  <si>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</si>
  <si>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</si>
  <si>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</si>
  <si>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</si>
  <si>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</si>
  <si>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</si>
  <si>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</si>
  <si>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</si>
  <si>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</si>
  <si>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</si>
  <si>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</si>
  <si>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</si>
  <si>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</si>
  <si>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Shop_certified variety</t>
  </si>
  <si>
    <t>Yes only manure</t>
  </si>
  <si>
    <t>No</t>
  </si>
  <si>
    <t>June</t>
  </si>
  <si>
    <t>Maize</t>
  </si>
  <si>
    <t>Yes both manure and inorganic</t>
  </si>
  <si>
    <t>Yes</t>
  </si>
  <si>
    <t>Tomatoes</t>
  </si>
  <si>
    <t>Shop_common variety</t>
  </si>
  <si>
    <t>Other crops</t>
  </si>
  <si>
    <t>managu</t>
  </si>
  <si>
    <t>Home recycled</t>
  </si>
  <si>
    <t>January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</si>
  <si>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</si>
  <si>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</si>
  <si>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</si>
  <si>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</si>
  <si>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</si>
  <si>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</si>
  <si>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</si>
  <si>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</si>
  <si>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</si>
  <si>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</si>
  <si>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</si>
  <si>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</si>
  <si>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</si>
  <si>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</si>
  <si>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</si>
  <si>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</si>
  <si>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</si>
  <si>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</si>
  <si>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</si>
  <si>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</si>
  <si>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shop and Tea 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</si>
  <si>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</si>
  <si>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</si>
  <si>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</si>
  <si>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</si>
  <si>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</si>
  <si>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</si>
  <si>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</si>
  <si>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</si>
  <si>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</si>
  <si>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</si>
  <si>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</si>
  <si>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</si>
  <si>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</si>
  <si>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</si>
  <si>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</si>
  <si>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</si>
  <si>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</si>
  <si>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</si>
  <si>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</si>
  <si>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</si>
  <si>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</si>
  <si>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</si>
  <si>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</si>
  <si>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</si>
  <si>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</si>
  <si>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</si>
  <si>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</si>
  <si>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7/22/2016</t>
  </si>
  <si>
    <t>mobile</t>
  </si>
  <si>
    <t>Trp 100%</t>
  </si>
  <si>
    <t>12/28/2016</t>
  </si>
  <si>
    <t>was booked for 6 months trp 100%</t>
  </si>
  <si>
    <t>5/25/2016</t>
  </si>
  <si>
    <t>Musoni</t>
  </si>
  <si>
    <t>Mpesa &amp; bank cash flows (from past statements)</t>
  </si>
  <si>
    <t>Cash inflows</t>
  </si>
  <si>
    <t>Cash outflows</t>
  </si>
  <si>
    <t>March</t>
  </si>
  <si>
    <t>February</t>
  </si>
  <si>
    <t>December</t>
  </si>
  <si>
    <t>November</t>
  </si>
  <si>
    <t>Loan info</t>
  </si>
  <si>
    <t>Branch ID</t>
  </si>
  <si>
    <t>Submission date</t>
  </si>
  <si>
    <t>2017/4/24</t>
  </si>
  <si>
    <t>Loan terms</t>
  </si>
  <si>
    <t>Expected disbursement date</t>
  </si>
  <si>
    <t>Expected first repayment date</t>
  </si>
  <si>
    <t>2017/5/24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</si>
  <si>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</si>
  <si>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</si>
  <si>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</si>
  <si>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</si>
  <si>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</si>
  <si>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</si>
  <si>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</si>
  <si>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</si>
  <si>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</si>
  <si>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</si>
  <si>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</si>
  <si>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</si>
  <si>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</si>
  <si>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</si>
  <si>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</si>
  <si>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</si>
  <si>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</si>
  <si>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</si>
  <si>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</si>
  <si>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</si>
  <si>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</si>
  <si>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</si>
  <si>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</si>
  <si>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</si>
  <si>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</si>
  <si>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</si>
  <si>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</si>
  <si>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</si>
  <si>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</si>
  <si>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</si>
  <si>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</si>
  <si>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</si>
  <si>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</si>
  <si>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</si>
  <si>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</si>
  <si>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</si>
  <si>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</si>
  <si>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</si>
  <si>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</si>
  <si>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</si>
  <si>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</si>
  <si>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</si>
  <si>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</si>
  <si>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</si>
  <si>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</si>
  <si>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</si>
  <si>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</si>
  <si>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</si>
  <si>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</si>
  <si>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</si>
  <si>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</si>
  <si>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</si>
  <si>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</si>
  <si>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</si>
  <si>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</si>
  <si>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</si>
  <si>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</si>
  <si>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</si>
  <si>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</si>
  <si>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</si>
  <si>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</si>
  <si>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</si>
  <si>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</si>
  <si>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</si>
  <si>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</si>
  <si>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</si>
  <si>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</si>
  <si>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</si>
  <si>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</si>
  <si>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</si>
  <si>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</si>
  <si>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</si>
  <si>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</si>
  <si>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</si>
  <si>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</si>
  <si>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</si>
  <si>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</si>
  <si>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</si>
  <si>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</si>
  <si>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</si>
  <si>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</si>
  <si>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</si>
  <si>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</si>
  <si>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</si>
  <si>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</si>
  <si>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</si>
  <si>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</si>
  <si>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</si>
  <si>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</si>
  <si>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</si>
  <si>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</si>
  <si>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</si>
  <si>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</si>
  <si>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</si>
  <si>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</si>
  <si>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</si>
  <si>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</si>
  <si>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</si>
  <si>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</si>
  <si>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</si>
  <si>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</si>
  <si>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</si>
  <si>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</si>
  <si>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</si>
  <si>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</si>
  <si>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</si>
  <si>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</si>
  <si>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</si>
  <si>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</si>
  <si>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</si>
  <si>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</si>
  <si>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</si>
  <si>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</si>
  <si>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</si>
  <si>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</si>
  <si>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</si>
  <si>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</si>
  <si>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</si>
  <si>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</si>
  <si>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</si>
  <si>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</si>
  <si>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</si>
  <si>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</si>
  <si>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</si>
  <si>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</si>
  <si>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</si>
  <si>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</si>
  <si>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</si>
  <si>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</si>
  <si>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</si>
  <si>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</si>
  <si>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</si>
  <si>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</si>
  <si>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</si>
  <si>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</si>
  <si>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</si>
  <si>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</si>
  <si>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</si>
  <si>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</si>
  <si>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</si>
  <si>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</si>
  <si>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</si>
  <si>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</si>
  <si>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</si>
  <si>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</si>
  <si>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</si>
  <si>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</si>
  <si>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</si>
  <si>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</si>
  <si>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</si>
  <si>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</si>
  <si>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</si>
  <si>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</si>
  <si>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</si>
  <si>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</si>
  <si>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</si>
  <si>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</si>
  <si>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</si>
  <si>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</si>
  <si>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</si>
  <si>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</si>
  <si>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</si>
  <si>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</si>
  <si>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</si>
  <si>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</si>
  <si>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</si>
  <si>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</si>
  <si>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</si>
  <si>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</si>
  <si>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</si>
  <si>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</si>
  <si>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</si>
  <si>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</si>
  <si>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</si>
  <si>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</si>
  <si>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</si>
  <si>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</si>
  <si>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</si>
  <si>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</si>
  <si>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</si>
  <si>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</si>
  <si>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</si>
  <si>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</si>
  <si>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</si>
  <si>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</si>
  <si>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</si>
  <si>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</si>
  <si>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</si>
  <si>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</si>
  <si>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</si>
  <si>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</si>
  <si>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</si>
  <si>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</si>
  <si>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Yes without the use of a pump</t>
  </si>
  <si>
    <t>NGO</t>
  </si>
  <si>
    <t>May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</si>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</sst>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Maize, Tomatoes, managu,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Retail shop and Tea 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0.2537489933244702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0.01078759541984733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315470.7307185956</v>
      </c>
    </row>
    <row r="18" spans="1:7">
      <c r="B18" s="1" t="s">
        <v>12</v>
      </c>
      <c r="C18" s="36">
        <f>MIN(Output!B6:M6)</f>
        <v>2911.699076887133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49555.74467361526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41090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47912.70749412809</v>
      </c>
      <c r="C6" s="51">
        <f>C30-C88</f>
        <v>13498.69907688713</v>
      </c>
      <c r="D6" s="51">
        <f>D30-D88</f>
        <v>2911.699076887133</v>
      </c>
      <c r="E6" s="51">
        <f>E30-E88</f>
        <v>13498.69907688713</v>
      </c>
      <c r="F6" s="51">
        <f>F30-F88</f>
        <v>11248.69907688713</v>
      </c>
      <c r="G6" s="51">
        <f>G30-G88</f>
        <v>46712.70749412809</v>
      </c>
      <c r="H6" s="51">
        <f>H30-H88</f>
        <v>46828.45108387168</v>
      </c>
      <c r="I6" s="51">
        <f>I30-I88</f>
        <v>22358.82839119171</v>
      </c>
      <c r="J6" s="51">
        <f>J30-J88</f>
        <v>32911.02276136361</v>
      </c>
      <c r="K6" s="51">
        <f>K30-K88</f>
        <v>15141.73625637431</v>
      </c>
      <c r="L6" s="51">
        <f>L30-L88</f>
        <v>12891.73625637431</v>
      </c>
      <c r="M6" s="51">
        <f>M30-M88</f>
        <v>49555.74467361526</v>
      </c>
      <c r="N6" s="51">
        <f>N30-N88</f>
        <v>49555.74467361526</v>
      </c>
      <c r="O6" s="51">
        <f>O30-O88</f>
        <v>15141.73625637431</v>
      </c>
      <c r="P6" s="51">
        <f>P30-P88</f>
        <v>4554.736256374308</v>
      </c>
      <c r="Q6" s="51">
        <f>Q30-Q88</f>
        <v>15141.73625637431</v>
      </c>
      <c r="R6" s="51">
        <f>R30-R88</f>
        <v>12891.73625637431</v>
      </c>
      <c r="S6" s="51">
        <f>S30-S88</f>
        <v>48355.74467361526</v>
      </c>
      <c r="T6" s="51">
        <f>T30-T88</f>
        <v>49555.74467361526</v>
      </c>
      <c r="U6" s="51">
        <f>U30-U88</f>
        <v>22358.82839119171</v>
      </c>
      <c r="V6" s="51">
        <f>V30-V88</f>
        <v>32911.02276136361</v>
      </c>
      <c r="W6" s="51">
        <f>W30-W88</f>
        <v>15141.73625637431</v>
      </c>
      <c r="X6" s="51">
        <f>X30-X88</f>
        <v>12891.73625637431</v>
      </c>
      <c r="Y6" s="51">
        <f>Y30-Y88</f>
        <v>49555.74467361526</v>
      </c>
      <c r="Z6" s="51">
        <f>SUMIF($B$13:$Y$13,"Yes",B6:Y6)</f>
        <v>365026.4753922108</v>
      </c>
      <c r="AA6" s="51">
        <f>AA30-AA88</f>
        <v>315470.7307185957</v>
      </c>
      <c r="AB6" s="51">
        <f>AB30-AB88</f>
        <v>643526.9781038581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277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-21940</v>
      </c>
      <c r="J7" s="80">
        <f>IF(ISERROR(VLOOKUP(MONTH(J5),Inputs!$D$66:$D$71,1,0)),"",INDEX(Inputs!$B$66:$B$71,MATCH(MONTH(Output!J5),Inputs!$D$66:$D$71,0))-INDEX(Inputs!$C$66:$C$71,MATCH(MONTH(Output!J5),Inputs!$D$66:$D$71,0)))</f>
        <v>10994</v>
      </c>
      <c r="K7" s="80">
        <f>IF(ISERROR(VLOOKUP(MONTH(K5),Inputs!$D$66:$D$71,1,0)),"",INDEX(Inputs!$B$66:$B$71,MATCH(MONTH(Output!K5),Inputs!$D$66:$D$71,0))-INDEX(Inputs!$C$66:$C$71,MATCH(MONTH(Output!K5),Inputs!$D$66:$D$71,0)))</f>
        <v>7</v>
      </c>
      <c r="L7" s="80">
        <f>IF(ISERROR(VLOOKUP(MONTH(L5),Inputs!$D$66:$D$71,1,0)),"",INDEX(Inputs!$B$66:$B$71,MATCH(MONTH(Output!L5),Inputs!$D$66:$D$71,0))-INDEX(Inputs!$C$66:$C$71,MATCH(MONTH(Output!L5),Inputs!$D$66:$D$71,0)))</f>
        <v>-5913</v>
      </c>
      <c r="M7" s="80">
        <f>IF(ISERROR(VLOOKUP(MONTH(M5),Inputs!$D$66:$D$71,1,0)),"",INDEX(Inputs!$B$66:$B$71,MATCH(MONTH(Output!M5),Inputs!$D$66:$D$71,0))-INDEX(Inputs!$C$66:$C$71,MATCH(MONTH(Output!M5),Inputs!$D$66:$D$71,0)))</f>
        <v>1357</v>
      </c>
      <c r="N7" s="80">
        <f>IF(ISERROR(VLOOKUP(MONTH(N5),Inputs!$D$66:$D$71,1,0)),"",INDEX(Inputs!$B$66:$B$71,MATCH(MONTH(Output!N5),Inputs!$D$66:$D$71,0))-INDEX(Inputs!$C$66:$C$71,MATCH(MONTH(Output!N5),Inputs!$D$66:$D$71,0)))</f>
        <v>277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-21940</v>
      </c>
      <c r="V7" s="80">
        <f>IF(ISERROR(VLOOKUP(MONTH(V5),Inputs!$D$66:$D$71,1,0)),"",INDEX(Inputs!$B$66:$B$71,MATCH(MONTH(Output!V5),Inputs!$D$66:$D$71,0))-INDEX(Inputs!$C$66:$C$71,MATCH(MONTH(Output!V5),Inputs!$D$66:$D$71,0)))</f>
        <v>10994</v>
      </c>
      <c r="W7" s="80">
        <f>IF(ISERROR(VLOOKUP(MONTH(W5),Inputs!$D$66:$D$71,1,0)),"",INDEX(Inputs!$B$66:$B$71,MATCH(MONTH(Output!W5),Inputs!$D$66:$D$71,0))-INDEX(Inputs!$C$66:$C$71,MATCH(MONTH(Output!W5),Inputs!$D$66:$D$71,0)))</f>
        <v>7</v>
      </c>
      <c r="X7" s="80">
        <f>IF(ISERROR(VLOOKUP(MONTH(X5),Inputs!$D$66:$D$71,1,0)),"",INDEX(Inputs!$B$66:$B$71,MATCH(MONTH(Output!X5),Inputs!$D$66:$D$71,0))-INDEX(Inputs!$C$66:$C$71,MATCH(MONTH(Output!X5),Inputs!$D$66:$D$71,0)))</f>
        <v>-5913</v>
      </c>
      <c r="Y7" s="80">
        <f>IF(ISERROR(VLOOKUP(MONTH(Y5),Inputs!$D$66:$D$71,1,0)),"",INDEX(Inputs!$B$66:$B$71,MATCH(MONTH(Output!Y5),Inputs!$D$66:$D$71,0))-INDEX(Inputs!$C$66:$C$71,MATCH(MONTH(Output!Y5),Inputs!$D$66:$D$71,0)))</f>
        <v>1357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9833.333333333334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108166.6666666667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147912.7074941281</v>
      </c>
      <c r="C11" s="80">
        <f>C6+C9-C10</f>
        <v>3665.365743553799</v>
      </c>
      <c r="D11" s="80">
        <f>D6+D9-D10</f>
        <v>-6921.634256446201</v>
      </c>
      <c r="E11" s="80">
        <f>E6+E9-E10</f>
        <v>3665.365743553799</v>
      </c>
      <c r="F11" s="80">
        <f>F6+F9-F10</f>
        <v>1415.365743553799</v>
      </c>
      <c r="G11" s="80">
        <f>G6+G9-G10</f>
        <v>36879.37416079475</v>
      </c>
      <c r="H11" s="80">
        <f>H6+H9-H10</f>
        <v>36995.11775053835</v>
      </c>
      <c r="I11" s="80">
        <f>I6+I9-I10</f>
        <v>12525.49505785838</v>
      </c>
      <c r="J11" s="80">
        <f>J6+J9-J10</f>
        <v>23077.68942803027</v>
      </c>
      <c r="K11" s="80">
        <f>K6+K9-K10</f>
        <v>5308.402923040978</v>
      </c>
      <c r="L11" s="80">
        <f>L6+L9-L10</f>
        <v>3058.402923040978</v>
      </c>
      <c r="M11" s="80">
        <f>M6+M9-M10</f>
        <v>39722.41134028193</v>
      </c>
      <c r="N11" s="80">
        <f>N6+N9-N10</f>
        <v>39722.41134028193</v>
      </c>
      <c r="O11" s="80">
        <f>O6+O9-O10</f>
        <v>15141.73625637431</v>
      </c>
      <c r="P11" s="80">
        <f>P6+P9-P10</f>
        <v>4554.736256374308</v>
      </c>
      <c r="Q11" s="80">
        <f>Q6+Q9-Q10</f>
        <v>15141.73625637431</v>
      </c>
      <c r="R11" s="80">
        <f>R6+R9-R10</f>
        <v>12891.73625637431</v>
      </c>
      <c r="S11" s="80">
        <f>S6+S9-S10</f>
        <v>48355.74467361526</v>
      </c>
      <c r="T11" s="80">
        <f>T6+T9-T10</f>
        <v>49555.74467361526</v>
      </c>
      <c r="U11" s="80">
        <f>U6+U9-U10</f>
        <v>22358.82839119171</v>
      </c>
      <c r="V11" s="80">
        <f>V6+V9-V10</f>
        <v>32911.02276136361</v>
      </c>
      <c r="W11" s="80">
        <f>W6+W9-W10</f>
        <v>15141.73625637431</v>
      </c>
      <c r="X11" s="80">
        <f>X6+X9-X10</f>
        <v>12891.73625637431</v>
      </c>
      <c r="Y11" s="80">
        <f>Y6+Y9-Y10</f>
        <v>49555.74467361526</v>
      </c>
      <c r="Z11" s="85">
        <f>SUMIF($B$13:$Y$13,"Yes",B11:Y11)</f>
        <v>347026.4753922108</v>
      </c>
      <c r="AA11" s="80">
        <f>SUM(B11:M11)</f>
        <v>307304.0640519289</v>
      </c>
      <c r="AB11" s="46">
        <f>SUM(B11:Y11)</f>
        <v>625526.9781038577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0.06092093205945157</v>
      </c>
      <c r="D12" s="82">
        <f>IF(D13="Yes",IF(SUM($B$10:D10)/(SUM($B$6:D6)+SUM($B$9:D9))&lt;0,999.99,SUM($B$10:D10)/(SUM($B$6:D6)+SUM($B$9:D9))),"")</f>
        <v>0.1196829051466854</v>
      </c>
      <c r="E12" s="82">
        <f>IF(E13="Yes",IF(SUM($B$10:E10)/(SUM($B$6:E6)+SUM($B$9:E9))&lt;0,999.99,SUM($B$10:E10)/(SUM($B$6:E6)+SUM($B$9:E9))),"")</f>
        <v>0.1658964154910948</v>
      </c>
      <c r="F12" s="82">
        <f>IF(F13="Yes",IF(SUM($B$10:F10)/(SUM($B$6:F6)+SUM($B$9:F9))&lt;0,999.99,SUM($B$10:F10)/(SUM($B$6:F6)+SUM($B$9:F9))),"")</f>
        <v>0.208035270137068</v>
      </c>
      <c r="G12" s="82">
        <f>IF(G13="Yes",IF(SUM($B$10:G10)/(SUM($B$6:G6)+SUM($B$9:G9))&lt;0,999.99,SUM($B$10:G10)/(SUM($B$6:G6)+SUM($B$9:G9))),"")</f>
        <v>0.2085248834998011</v>
      </c>
      <c r="H12" s="82">
        <f>IF(H13="Yes",IF(SUM($B$10:H10)/(SUM($B$6:H6)+SUM($B$9:H9))&lt;0,999.99,SUM($B$10:H10)/(SUM($B$6:H6)+SUM($B$9:H9))),"")</f>
        <v>0.208767039205679</v>
      </c>
      <c r="I12" s="82">
        <f>IF(I13="Yes",IF(SUM($B$10:I10)/(SUM($B$6:I6)+SUM($B$9:I9))&lt;0,999.99,SUM($B$10:I10)/(SUM($B$6:I6)+SUM($B$9:I9))),"")</f>
        <v>0.2257048974126796</v>
      </c>
      <c r="J12" s="82">
        <f>IF(J13="Yes",IF(SUM($B$10:J10)/(SUM($B$6:J6)+SUM($B$9:J9))&lt;0,999.99,SUM($B$10:J10)/(SUM($B$6:J6)+SUM($B$9:J9))),"")</f>
        <v>0.2328232339327508</v>
      </c>
      <c r="K12" s="82">
        <f>IF(K13="Yes",IF(SUM($B$10:K10)/(SUM($B$6:K6)+SUM($B$9:K9))&lt;0,999.99,SUM($B$10:K10)/(SUM($B$6:K6)+SUM($B$9:K9))),"")</f>
        <v>0.2506917038835111</v>
      </c>
      <c r="L12" s="82">
        <f>IF(L13="Yes",IF(SUM($B$10:L10)/(SUM($B$6:L6)+SUM($B$9:L9))&lt;0,999.99,SUM($B$10:L10)/(SUM($B$6:L6)+SUM($B$9:L9))),"")</f>
        <v>0.2687327305070956</v>
      </c>
      <c r="M12" s="82">
        <f>IF(M13="Yes",IF(SUM($B$10:M10)/(SUM($B$6:M6)+SUM($B$9:M9))&lt;0,999.99,SUM($B$10:M10)/(SUM($B$6:M6)+SUM($B$9:M9))),"")</f>
        <v>0.2603472607554864</v>
      </c>
      <c r="N12" s="82">
        <f>IF(N13="Yes",IF(SUM($B$10:N10)/(SUM($B$6:N6)+SUM($B$9:N9))&lt;0,999.99,SUM($B$10:N10)/(SUM($B$6:N6)+SUM($B$9:N9))),"")</f>
        <v>0.2537489933244702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12250</v>
      </c>
      <c r="C18" s="36">
        <f>O18</f>
        <v>12250</v>
      </c>
      <c r="D18" s="36">
        <f>P18</f>
        <v>12250</v>
      </c>
      <c r="E18" s="36">
        <f>Q18</f>
        <v>12250</v>
      </c>
      <c r="F18" s="36">
        <f>R18</f>
        <v>12250</v>
      </c>
      <c r="G18" s="36">
        <f>S18</f>
        <v>12250</v>
      </c>
      <c r="H18" s="36">
        <f>T18</f>
        <v>12250</v>
      </c>
      <c r="I18" s="36">
        <f>U18</f>
        <v>12250</v>
      </c>
      <c r="J18" s="36">
        <f>V18</f>
        <v>12250</v>
      </c>
      <c r="K18" s="36">
        <f>W18</f>
        <v>12250</v>
      </c>
      <c r="L18" s="36">
        <f>X18</f>
        <v>12250</v>
      </c>
      <c r="M18" s="36">
        <f>Y18</f>
        <v>12250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12250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12250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12250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12250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12250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12250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12250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12250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12250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12250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12250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12250</v>
      </c>
      <c r="Z18" s="36">
        <f>SUMIF($B$13:$Y$13,"Yes",B18:Y18)</f>
        <v>159250</v>
      </c>
      <c r="AA18" s="36">
        <f>SUM(B18:M18)</f>
        <v>147000</v>
      </c>
      <c r="AB18" s="36">
        <f>SUM(B18:Y18)</f>
        <v>294000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15953.57208749108</v>
      </c>
      <c r="J19" s="36">
        <f>V19</f>
        <v>19144.2865049893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15953.57208749108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19144.2865049893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35097.85859248038</v>
      </c>
      <c r="AA19" s="36">
        <f>SUM(B19:M19)</f>
        <v>35097.85859248038</v>
      </c>
      <c r="AB19" s="36">
        <f>SUM(B19:Y19)</f>
        <v>70195.71718496077</v>
      </c>
      <c r="AC19" s="43"/>
      <c r="AD19" s="43"/>
    </row>
    <row r="20" spans="1:30">
      <c r="A20" t="str">
        <f>IF(Calculations!A6&lt;&gt;Parameters!$A$18,IF(Calculations!A6=0,"",Calculations!A6),Inputs!B9)</f>
        <v>Tomatoes</v>
      </c>
      <c r="B20" s="36">
        <f>N20</f>
        <v>34414.00841724096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34414.00841724096</v>
      </c>
      <c r="H20" s="36">
        <f>T20</f>
        <v>34414.00841724096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34414.00841724096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34414.00841724096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34414.00841724096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34414.00841724096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34414.00841724096</v>
      </c>
      <c r="Z20" s="36">
        <f>SUMIF($B$13:$Y$13,"Yes",B20:Y20)</f>
        <v>172070.0420862048</v>
      </c>
      <c r="AA20" s="36">
        <f>SUM(B20:M20)</f>
        <v>137656.0336689638</v>
      </c>
      <c r="AB20" s="36">
        <f>SUM(B20:Y20)</f>
        <v>275312.0673379276</v>
      </c>
    </row>
    <row r="21" spans="1:30">
      <c r="A21" t="str">
        <f>IF(Calculations!A7&lt;&gt;Parameters!$A$18,IF(Calculations!A7=0,"",Calculations!A7),Inputs!B10)</f>
        <v>managu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4471.25</v>
      </c>
      <c r="C24" s="36">
        <f>IFERROR(Calculations!$P14/12,"")</f>
        <v>4471.25</v>
      </c>
      <c r="D24" s="36">
        <f>IFERROR(Calculations!$P14/12,"")</f>
        <v>4471.25</v>
      </c>
      <c r="E24" s="36">
        <f>IFERROR(Calculations!$P14/12,"")</f>
        <v>4471.25</v>
      </c>
      <c r="F24" s="36">
        <f>IFERROR(Calculations!$P14/12,"")</f>
        <v>4471.25</v>
      </c>
      <c r="G24" s="36">
        <f>IFERROR(Calculations!$P14/12,"")</f>
        <v>4471.25</v>
      </c>
      <c r="H24" s="36">
        <f>IFERROR(Calculations!$P14/12,"")</f>
        <v>4471.25</v>
      </c>
      <c r="I24" s="36">
        <f>IFERROR(Calculations!$P14/12,"")</f>
        <v>4471.25</v>
      </c>
      <c r="J24" s="36">
        <f>IFERROR(Calculations!$P14/12,"")</f>
        <v>4471.25</v>
      </c>
      <c r="K24" s="36">
        <f>IFERROR(Calculations!$P14/12,"")</f>
        <v>4471.25</v>
      </c>
      <c r="L24" s="36">
        <f>IFERROR(Calculations!$P14/12,"")</f>
        <v>4471.25</v>
      </c>
      <c r="M24" s="36">
        <f>IFERROR(Calculations!$P14/12,"")</f>
        <v>4471.25</v>
      </c>
      <c r="N24" s="36">
        <f>IFERROR(Calculations!$P14/12,"")</f>
        <v>4471.25</v>
      </c>
      <c r="O24" s="36">
        <f>IFERROR(Calculations!$P14/12,"")</f>
        <v>4471.25</v>
      </c>
      <c r="P24" s="36">
        <f>IFERROR(Calculations!$P14/12,"")</f>
        <v>4471.25</v>
      </c>
      <c r="Q24" s="36">
        <f>IFERROR(Calculations!$P14/12,"")</f>
        <v>4471.25</v>
      </c>
      <c r="R24" s="36">
        <f>IFERROR(Calculations!$P14/12,"")</f>
        <v>4471.25</v>
      </c>
      <c r="S24" s="36">
        <f>IFERROR(Calculations!$P14/12,"")</f>
        <v>4471.25</v>
      </c>
      <c r="T24" s="36">
        <f>IFERROR(Calculations!$P14/12,"")</f>
        <v>4471.25</v>
      </c>
      <c r="U24" s="36">
        <f>IFERROR(Calculations!$P14/12,"")</f>
        <v>4471.25</v>
      </c>
      <c r="V24" s="36">
        <f>IFERROR(Calculations!$P14/12,"")</f>
        <v>4471.25</v>
      </c>
      <c r="W24" s="36">
        <f>IFERROR(Calculations!$P14/12,"")</f>
        <v>4471.25</v>
      </c>
      <c r="X24" s="36">
        <f>IFERROR(Calculations!$P14/12,"")</f>
        <v>4471.25</v>
      </c>
      <c r="Y24" s="36">
        <f>IFERROR(Calculations!$P14/12,"")</f>
        <v>4471.25</v>
      </c>
      <c r="Z24" s="36">
        <f>SUMIF($B$13:$Y$13,"Yes",B24:Y24)</f>
        <v>58126.25</v>
      </c>
      <c r="AA24" s="36">
        <f>SUM(B24:M24)</f>
        <v>53655</v>
      </c>
      <c r="AB24" s="46">
        <f>SUM(B24:Y24)</f>
        <v>107310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24000</v>
      </c>
      <c r="C29" s="37">
        <f>Inputs!$B$30</f>
        <v>24000</v>
      </c>
      <c r="D29" s="37">
        <f>Inputs!$B$30</f>
        <v>24000</v>
      </c>
      <c r="E29" s="37">
        <f>Inputs!$B$30</f>
        <v>24000</v>
      </c>
      <c r="F29" s="37">
        <f>Inputs!$B$30</f>
        <v>24000</v>
      </c>
      <c r="G29" s="37">
        <f>Inputs!$B$30</f>
        <v>24000</v>
      </c>
      <c r="H29" s="37">
        <f>Inputs!$B$30</f>
        <v>24000</v>
      </c>
      <c r="I29" s="37">
        <f>Inputs!$B$30</f>
        <v>24000</v>
      </c>
      <c r="J29" s="37">
        <f>Inputs!$B$30</f>
        <v>24000</v>
      </c>
      <c r="K29" s="37">
        <f>Inputs!$B$30</f>
        <v>24000</v>
      </c>
      <c r="L29" s="37">
        <f>Inputs!$B$30</f>
        <v>24000</v>
      </c>
      <c r="M29" s="37">
        <f>Inputs!$B$30</f>
        <v>24000</v>
      </c>
      <c r="N29" s="37">
        <f>Inputs!$B$30</f>
        <v>24000</v>
      </c>
      <c r="O29" s="37">
        <f>Inputs!$B$30</f>
        <v>24000</v>
      </c>
      <c r="P29" s="37">
        <f>Inputs!$B$30</f>
        <v>24000</v>
      </c>
      <c r="Q29" s="37">
        <f>Inputs!$B$30</f>
        <v>24000</v>
      </c>
      <c r="R29" s="37">
        <f>Inputs!$B$30</f>
        <v>24000</v>
      </c>
      <c r="S29" s="37">
        <f>Inputs!$B$30</f>
        <v>24000</v>
      </c>
      <c r="T29" s="37">
        <f>Inputs!$B$30</f>
        <v>24000</v>
      </c>
      <c r="U29" s="37">
        <f>Inputs!$B$30</f>
        <v>24000</v>
      </c>
      <c r="V29" s="37">
        <f>Inputs!$B$30</f>
        <v>24000</v>
      </c>
      <c r="W29" s="37">
        <f>Inputs!$B$30</f>
        <v>24000</v>
      </c>
      <c r="X29" s="37">
        <f>Inputs!$B$30</f>
        <v>24000</v>
      </c>
      <c r="Y29" s="37">
        <f>Inputs!$B$30</f>
        <v>24000</v>
      </c>
      <c r="Z29" s="37">
        <f>SUMIF($B$13:$Y$13,"Yes",B29:Y29)</f>
        <v>312000</v>
      </c>
      <c r="AA29" s="37">
        <f>SUM(B29:M29)</f>
        <v>288000</v>
      </c>
      <c r="AB29" s="37">
        <f>SUM(B29:Y29)</f>
        <v>576000</v>
      </c>
    </row>
    <row r="30" spans="1:30" customHeight="1" ht="15.75">
      <c r="A30" s="1" t="s">
        <v>37</v>
      </c>
      <c r="B30" s="19">
        <f>SUM(B18:B29)</f>
        <v>75135.25841724096</v>
      </c>
      <c r="C30" s="19">
        <f>SUM(C18:C29)</f>
        <v>40721.25</v>
      </c>
      <c r="D30" s="19">
        <f>SUM(D18:D29)</f>
        <v>40721.25</v>
      </c>
      <c r="E30" s="19">
        <f>SUM(E18:E29)</f>
        <v>40721.25</v>
      </c>
      <c r="F30" s="19">
        <f>SUM(F18:F29)</f>
        <v>40721.25</v>
      </c>
      <c r="G30" s="19">
        <f>SUM(G18:G29)</f>
        <v>75135.25841724096</v>
      </c>
      <c r="H30" s="19">
        <f>SUM(H18:H29)</f>
        <v>75135.25841724096</v>
      </c>
      <c r="I30" s="19">
        <f>SUM(I18:I29)</f>
        <v>56674.82208749108</v>
      </c>
      <c r="J30" s="19">
        <f>SUM(J18:J29)</f>
        <v>59865.5365049893</v>
      </c>
      <c r="K30" s="19">
        <f>SUM(K18:K29)</f>
        <v>40721.25</v>
      </c>
      <c r="L30" s="19">
        <f>SUM(L18:L29)</f>
        <v>40721.25</v>
      </c>
      <c r="M30" s="19">
        <f>SUM(M18:M29)</f>
        <v>75135.25841724096</v>
      </c>
      <c r="N30" s="19">
        <f>SUM(N18:N29)</f>
        <v>75135.25841724096</v>
      </c>
      <c r="O30" s="19">
        <f>SUM(O18:O29)</f>
        <v>40721.25</v>
      </c>
      <c r="P30" s="19">
        <f>SUM(P18:P29)</f>
        <v>40721.25</v>
      </c>
      <c r="Q30" s="19">
        <f>SUM(Q18:Q29)</f>
        <v>40721.25</v>
      </c>
      <c r="R30" s="19">
        <f>SUM(R18:R29)</f>
        <v>40721.25</v>
      </c>
      <c r="S30" s="19">
        <f>SUM(S18:S29)</f>
        <v>75135.25841724096</v>
      </c>
      <c r="T30" s="19">
        <f>SUM(T18:T29)</f>
        <v>75135.25841724096</v>
      </c>
      <c r="U30" s="19">
        <f>SUM(U18:U29)</f>
        <v>56674.82208749108</v>
      </c>
      <c r="V30" s="19">
        <f>SUM(V18:V29)</f>
        <v>59865.5365049893</v>
      </c>
      <c r="W30" s="19">
        <f>SUM(W18:W29)</f>
        <v>40721.25</v>
      </c>
      <c r="X30" s="19">
        <f>SUM(X18:X29)</f>
        <v>40721.25</v>
      </c>
      <c r="Y30" s="19">
        <f>SUM(Y18:Y29)</f>
        <v>75135.25841724096</v>
      </c>
      <c r="Z30" s="19">
        <f>SUMIF($B$13:$Y$13,"Yes",B30:Y30)</f>
        <v>736544.1506786852</v>
      </c>
      <c r="AA30" s="19">
        <f>SUM(B30:M30)</f>
        <v>661408.8922614442</v>
      </c>
      <c r="AB30" s="19">
        <f>SUM(B30:Y30)</f>
        <v>1322817.784522888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166.6666666666667</v>
      </c>
      <c r="C36" s="36">
        <f>O36</f>
        <v>166.6666666666667</v>
      </c>
      <c r="D36" s="36">
        <f>P36</f>
        <v>9166.666666666668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166.6666666666667</v>
      </c>
      <c r="I36" s="36">
        <f>U36</f>
        <v>166.6666666666667</v>
      </c>
      <c r="J36" s="36">
        <f>V36</f>
        <v>1166.666666666667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166.6666666666667</v>
      </c>
      <c r="O36" s="36">
        <f>SUM(O37:O41)</f>
        <v>166.6666666666667</v>
      </c>
      <c r="P36" s="36">
        <f>SUM(P37:P41)</f>
        <v>9166.666666666668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166.6666666666667</v>
      </c>
      <c r="U36" s="36">
        <f>SUM(U37:U41)</f>
        <v>166.6666666666667</v>
      </c>
      <c r="V36" s="36">
        <f>SUM(V37:V41)</f>
        <v>1166.666666666667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12166.66666666666</v>
      </c>
      <c r="AA36" s="36">
        <f>SUM(B36:M36)</f>
        <v>12000</v>
      </c>
      <c r="AB36" s="36">
        <f>SUM(B36:Y36)</f>
        <v>24000.00000000001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2166.666666666667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8000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8000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 t="str">
        <f>Calculations!$A$6</f>
        <v>Tomatoes</v>
      </c>
      <c r="B39" s="36">
        <f>N39</f>
        <v>0</v>
      </c>
      <c r="C39" s="36">
        <f>O39</f>
        <v>0</v>
      </c>
      <c r="D39" s="36">
        <f>P39</f>
        <v>1000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1000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1000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1000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2000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1587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375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1587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375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1962</v>
      </c>
      <c r="AA42" s="36">
        <f>SUM(B42:M42)</f>
        <v>1962</v>
      </c>
      <c r="AB42" s="36">
        <f>SUM(B42:Y42)</f>
        <v>3924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1212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1212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 t="str">
        <f>Calculations!$A$6</f>
        <v>Tomatoes</v>
      </c>
      <c r="B45" s="36">
        <f>N45</f>
        <v>0</v>
      </c>
      <c r="C45" s="36">
        <f>O45</f>
        <v>0</v>
      </c>
      <c r="D45" s="36">
        <f>P45</f>
        <v>375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375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375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375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750</v>
      </c>
      <c r="AA45" s="36">
        <f>SUM(B45:M45)</f>
        <v>750</v>
      </c>
      <c r="AB45" s="36">
        <f>SUM(B45:Y45)</f>
        <v>1500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2250</v>
      </c>
      <c r="G48" s="36">
        <f>S48</f>
        <v>1200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2250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2250</v>
      </c>
      <c r="S48" s="46">
        <f>SUM(S49:S53)</f>
        <v>1200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2250</v>
      </c>
      <c r="Y48" s="46">
        <f>SUM(Y49:Y53)</f>
        <v>0</v>
      </c>
      <c r="Z48" s="46">
        <f>SUMIF($B$13:$Y$13,"Yes",B48:Y48)</f>
        <v>5700</v>
      </c>
      <c r="AA48" s="46">
        <f>SUM(B48:M48)</f>
        <v>5700</v>
      </c>
      <c r="AB48" s="46">
        <f>SUM(B48:Y48)</f>
        <v>11400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1200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1200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</v>
      </c>
      <c r="AA50" s="46">
        <f>SUM(B50:M50)</f>
        <v>1200</v>
      </c>
      <c r="AB50" s="46">
        <f>SUM(B50:Y50)</f>
        <v>2400</v>
      </c>
    </row>
    <row r="51" spans="1:30" hidden="true" outlineLevel="1">
      <c r="A51" s="181" t="str">
        <f>Calculations!$A$6</f>
        <v>Tomatoes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2250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2250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2250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2250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4500</v>
      </c>
      <c r="AA51" s="46">
        <f>SUM(B51:M51)</f>
        <v>4500</v>
      </c>
      <c r="AB51" s="46">
        <f>SUM(B51:Y51)</f>
        <v>9000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8736.479952673688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8736.479952673688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8736.479952673688</v>
      </c>
      <c r="AA54" s="46">
        <f>SUM(B54:M54)</f>
        <v>8736.479952673688</v>
      </c>
      <c r="AB54" s="46">
        <f>SUM(B54:Y54)</f>
        <v>17472.95990534738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8736.479952673688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8736.479952673688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8736.479952673688</v>
      </c>
      <c r="AA56" s="46">
        <f>SUM(B56:M56)</f>
        <v>8736.479952673688</v>
      </c>
      <c r="AB56" s="46">
        <f>SUM(B56:Y56)</f>
        <v>17472.95990534738</v>
      </c>
    </row>
    <row r="57" spans="1:30" hidden="true" outlineLevel="1">
      <c r="A57" s="181" t="str">
        <f>Calculations!$A$6</f>
        <v>Tomatoes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Tomatoes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Tomatoes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4500</v>
      </c>
      <c r="C79" s="46">
        <f>Inputs!$B$31</f>
        <v>4500</v>
      </c>
      <c r="D79" s="46">
        <f>Inputs!$B$31</f>
        <v>4500</v>
      </c>
      <c r="E79" s="46">
        <f>Inputs!$B$31</f>
        <v>4500</v>
      </c>
      <c r="F79" s="46">
        <f>Inputs!$B$31</f>
        <v>4500</v>
      </c>
      <c r="G79" s="46">
        <f>Inputs!$B$31</f>
        <v>4500</v>
      </c>
      <c r="H79" s="46">
        <f>Inputs!$B$31</f>
        <v>4500</v>
      </c>
      <c r="I79" s="46">
        <f>Inputs!$B$31</f>
        <v>4500</v>
      </c>
      <c r="J79" s="46">
        <f>Inputs!$B$31</f>
        <v>4500</v>
      </c>
      <c r="K79" s="46">
        <f>Inputs!$B$31</f>
        <v>4500</v>
      </c>
      <c r="L79" s="46">
        <f>Inputs!$B$31</f>
        <v>4500</v>
      </c>
      <c r="M79" s="46">
        <f>Inputs!$B$31</f>
        <v>4500</v>
      </c>
      <c r="N79" s="46">
        <f>Inputs!$B$31</f>
        <v>4500</v>
      </c>
      <c r="O79" s="46">
        <f>Inputs!$B$31</f>
        <v>4500</v>
      </c>
      <c r="P79" s="46">
        <f>Inputs!$B$31</f>
        <v>4500</v>
      </c>
      <c r="Q79" s="46">
        <f>Inputs!$B$31</f>
        <v>4500</v>
      </c>
      <c r="R79" s="46">
        <f>Inputs!$B$31</f>
        <v>4500</v>
      </c>
      <c r="S79" s="46">
        <f>Inputs!$B$31</f>
        <v>4500</v>
      </c>
      <c r="T79" s="46">
        <f>Inputs!$B$31</f>
        <v>4500</v>
      </c>
      <c r="U79" s="46">
        <f>Inputs!$B$31</f>
        <v>4500</v>
      </c>
      <c r="V79" s="46">
        <f>Inputs!$B$31</f>
        <v>4500</v>
      </c>
      <c r="W79" s="46">
        <f>Inputs!$B$31</f>
        <v>4500</v>
      </c>
      <c r="X79" s="46">
        <f>Inputs!$B$31</f>
        <v>4500</v>
      </c>
      <c r="Y79" s="46">
        <f>Inputs!$B$31</f>
        <v>4500</v>
      </c>
      <c r="Z79" s="46">
        <f>SUMIF($B$13:$Y$13,"Yes",B79:Y79)</f>
        <v>58500</v>
      </c>
      <c r="AA79" s="46">
        <f>SUM(B79:M79)</f>
        <v>54000</v>
      </c>
      <c r="AB79" s="46">
        <f>SUM(B79:Y79)</f>
        <v>108000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18225.34707695902</v>
      </c>
      <c r="C81" s="46">
        <f>(SUM($AA$18:$AA$29)-SUM($AA$36,$AA$42,$AA$48,$AA$54,$AA$60,$AA$66,$AA$72:$AA$79))*Parameters!$B$37/12</f>
        <v>18225.34707695902</v>
      </c>
      <c r="D81" s="46">
        <f>(SUM($AA$18:$AA$29)-SUM($AA$36,$AA$42,$AA$48,$AA$54,$AA$60,$AA$66,$AA$72:$AA$79))*Parameters!$B$37/12</f>
        <v>18225.34707695902</v>
      </c>
      <c r="E81" s="46">
        <f>(SUM($AA$18:$AA$29)-SUM($AA$36,$AA$42,$AA$48,$AA$54,$AA$60,$AA$66,$AA$72:$AA$79))*Parameters!$B$37/12</f>
        <v>18225.34707695902</v>
      </c>
      <c r="F81" s="46">
        <f>(SUM($AA$18:$AA$29)-SUM($AA$36,$AA$42,$AA$48,$AA$54,$AA$60,$AA$66,$AA$72:$AA$79))*Parameters!$B$37/12</f>
        <v>18225.34707695902</v>
      </c>
      <c r="G81" s="46">
        <f>(SUM($AA$18:$AA$29)-SUM($AA$36,$AA$42,$AA$48,$AA$54,$AA$60,$AA$66,$AA$72:$AA$79))*Parameters!$B$37/12</f>
        <v>18225.34707695902</v>
      </c>
      <c r="H81" s="46">
        <f>(SUM($AA$18:$AA$29)-SUM($AA$36,$AA$42,$AA$48,$AA$54,$AA$60,$AA$66,$AA$72:$AA$79))*Parameters!$B$37/12</f>
        <v>18225.34707695902</v>
      </c>
      <c r="I81" s="46">
        <f>(SUM($AA$18:$AA$29)-SUM($AA$36,$AA$42,$AA$48,$AA$54,$AA$60,$AA$66,$AA$72:$AA$79))*Parameters!$B$37/12</f>
        <v>18225.34707695902</v>
      </c>
      <c r="J81" s="46">
        <f>(SUM($AA$18:$AA$29)-SUM($AA$36,$AA$42,$AA$48,$AA$54,$AA$60,$AA$66,$AA$72:$AA$79))*Parameters!$B$37/12</f>
        <v>18225.34707695902</v>
      </c>
      <c r="K81" s="46">
        <f>(SUM($AA$18:$AA$29)-SUM($AA$36,$AA$42,$AA$48,$AA$54,$AA$60,$AA$66,$AA$72:$AA$79))*Parameters!$B$37/12</f>
        <v>18225.34707695902</v>
      </c>
      <c r="L81" s="46">
        <f>(SUM($AA$18:$AA$29)-SUM($AA$36,$AA$42,$AA$48,$AA$54,$AA$60,$AA$66,$AA$72:$AA$79))*Parameters!$B$37/12</f>
        <v>18225.34707695902</v>
      </c>
      <c r="M81" s="46">
        <f>(SUM($AA$18:$AA$29)-SUM($AA$36,$AA$42,$AA$48,$AA$54,$AA$60,$AA$66,$AA$72:$AA$79))*Parameters!$B$37/12</f>
        <v>18225.34707695902</v>
      </c>
      <c r="N81" s="46">
        <f>(SUM($AA$18:$AA$29)-SUM($AA$36,$AA$42,$AA$48,$AA$54,$AA$60,$AA$66,$AA$72:$AA$79))*Parameters!$B$37/12</f>
        <v>18225.34707695902</v>
      </c>
      <c r="O81" s="46">
        <f>(SUM($AA$18:$AA$29)-SUM($AA$36,$AA$42,$AA$48,$AA$54,$AA$60,$AA$66,$AA$72:$AA$79))*Parameters!$B$37/12</f>
        <v>18225.34707695902</v>
      </c>
      <c r="P81" s="46">
        <f>(SUM($AA$18:$AA$29)-SUM($AA$36,$AA$42,$AA$48,$AA$54,$AA$60,$AA$66,$AA$72:$AA$79))*Parameters!$B$37/12</f>
        <v>18225.34707695902</v>
      </c>
      <c r="Q81" s="46">
        <f>(SUM($AA$18:$AA$29)-SUM($AA$36,$AA$42,$AA$48,$AA$54,$AA$60,$AA$66,$AA$72:$AA$79))*Parameters!$B$37/12</f>
        <v>18225.34707695902</v>
      </c>
      <c r="R81" s="46">
        <f>(SUM($AA$18:$AA$29)-SUM($AA$36,$AA$42,$AA$48,$AA$54,$AA$60,$AA$66,$AA$72:$AA$79))*Parameters!$B$37/12</f>
        <v>18225.34707695902</v>
      </c>
      <c r="S81" s="46">
        <f>(SUM($AA$18:$AA$29)-SUM($AA$36,$AA$42,$AA$48,$AA$54,$AA$60,$AA$66,$AA$72:$AA$79))*Parameters!$B$37/12</f>
        <v>18225.34707695902</v>
      </c>
      <c r="T81" s="46">
        <f>(SUM($AA$18:$AA$29)-SUM($AA$36,$AA$42,$AA$48,$AA$54,$AA$60,$AA$66,$AA$72:$AA$79))*Parameters!$B$37/12</f>
        <v>18225.34707695902</v>
      </c>
      <c r="U81" s="46">
        <f>(SUM($AA$18:$AA$29)-SUM($AA$36,$AA$42,$AA$48,$AA$54,$AA$60,$AA$66,$AA$72:$AA$79))*Parameters!$B$37/12</f>
        <v>18225.34707695902</v>
      </c>
      <c r="V81" s="46">
        <f>(SUM($AA$18:$AA$29)-SUM($AA$36,$AA$42,$AA$48,$AA$54,$AA$60,$AA$66,$AA$72:$AA$79))*Parameters!$B$37/12</f>
        <v>18225.34707695902</v>
      </c>
      <c r="W81" s="46">
        <f>(SUM($AA$18:$AA$29)-SUM($AA$36,$AA$42,$AA$48,$AA$54,$AA$60,$AA$66,$AA$72:$AA$79))*Parameters!$B$37/12</f>
        <v>18225.34707695902</v>
      </c>
      <c r="X81" s="46">
        <f>(SUM($AA$18:$AA$29)-SUM($AA$36,$AA$42,$AA$48,$AA$54,$AA$60,$AA$66,$AA$72:$AA$79))*Parameters!$B$37/12</f>
        <v>18225.34707695902</v>
      </c>
      <c r="Y81" s="46">
        <f>(SUM($AA$18:$AA$29)-SUM($AA$36,$AA$42,$AA$48,$AA$54,$AA$60,$AA$66,$AA$72:$AA$79))*Parameters!$B$37/12</f>
        <v>18225.34707695902</v>
      </c>
      <c r="Z81" s="46">
        <f>SUMIF($B$13:$Y$13,"Yes",B81:Y81)</f>
        <v>236929.5120004673</v>
      </c>
      <c r="AA81" s="46">
        <f>SUM(B81:M81)</f>
        <v>218704.1649235083</v>
      </c>
      <c r="AB81" s="46">
        <f>SUM(B81:Y81)</f>
        <v>437408.3298470167</v>
      </c>
    </row>
    <row r="82" spans="1:30">
      <c r="A82" s="16" t="s">
        <v>52</v>
      </c>
      <c r="B82" s="46">
        <f>SUM(B83:B87)</f>
        <v>1643.03717948718</v>
      </c>
      <c r="C82" s="46">
        <f>SUM(C83:C87)</f>
        <v>1643.03717948718</v>
      </c>
      <c r="D82" s="46">
        <f>SUM(D83:D87)</f>
        <v>1643.03717948718</v>
      </c>
      <c r="E82" s="46">
        <f>SUM(E83:E87)</f>
        <v>1643.03717948718</v>
      </c>
      <c r="F82" s="46">
        <f>SUM(F83:F87)</f>
        <v>1643.03717948718</v>
      </c>
      <c r="G82" s="46">
        <f>SUM(G83:G87)</f>
        <v>1643.03717948718</v>
      </c>
      <c r="H82" s="46">
        <f>SUM(H83:H87)</f>
        <v>2727.293589743589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12585.51666666667</v>
      </c>
      <c r="AA82" s="46">
        <f>SUM(B82:M82)</f>
        <v>12585.51666666667</v>
      </c>
      <c r="AB82" s="46">
        <f>SUM(B82:Y82)</f>
        <v>12585.51666666667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1643.03717948718</v>
      </c>
      <c r="C84" s="46">
        <f>IF(Calculations!$E24&gt;COUNT(Output!$B$35:C$35),Calculations!$B24,IF(Calculations!$E24=COUNT(Output!$B$35:C$35),Inputs!$B57-Calculations!$C24*(Calculations!$E24-1)+Calculations!$D24,0))</f>
        <v>1643.03717948718</v>
      </c>
      <c r="D84" s="46">
        <f>IF(Calculations!$E24&gt;COUNT(Output!$B$35:D$35),Calculations!$B24,IF(Calculations!$E24=COUNT(Output!$B$35:D$35),Inputs!$B57-Calculations!$C24*(Calculations!$E24-1)+Calculations!$D24,0))</f>
        <v>1643.03717948718</v>
      </c>
      <c r="E84" s="46">
        <f>IF(Calculations!$E24&gt;COUNT(Output!$B$35:E$35),Calculations!$B24,IF(Calculations!$E24=COUNT(Output!$B$35:E$35),Inputs!$B57-Calculations!$C24*(Calculations!$E24-1)+Calculations!$D24,0))</f>
        <v>1643.03717948718</v>
      </c>
      <c r="F84" s="46">
        <f>IF(Calculations!$E24&gt;COUNT(Output!$B$35:F$35),Calculations!$B24,IF(Calculations!$E24=COUNT(Output!$B$35:F$35),Inputs!$B57-Calculations!$C24*(Calculations!$E24-1)+Calculations!$D24,0))</f>
        <v>1643.03717948718</v>
      </c>
      <c r="G84" s="46">
        <f>IF(Calculations!$E24&gt;COUNT(Output!$B$35:G$35),Calculations!$B24,IF(Calculations!$E24=COUNT(Output!$B$35:G$35),Inputs!$B57-Calculations!$C24*(Calculations!$E24-1)+Calculations!$D24,0))</f>
        <v>1643.03717948718</v>
      </c>
      <c r="H84" s="46">
        <f>IF(Calculations!$E24&gt;COUNT(Output!$B$35:H$35),Calculations!$B24,IF(Calculations!$E24=COUNT(Output!$B$35:H$35),Inputs!$B57-Calculations!$C24*(Calculations!$E24-1)+Calculations!$D24,0))</f>
        <v>2727.293589743589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12585.51666666667</v>
      </c>
      <c r="AA84" s="46">
        <f>SUM(B84:M84)</f>
        <v>12585.51666666667</v>
      </c>
      <c r="AB84" s="46">
        <f>SUM(B84:Y84)</f>
        <v>12585.51666666667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27222.55092311287</v>
      </c>
      <c r="C88" s="19">
        <f>SUM(C72:C82,C66,C60,C54,C48,C42,C36)</f>
        <v>27222.55092311287</v>
      </c>
      <c r="D88" s="19">
        <f>SUM(D72:D82,D66,D60,D54,D48,D42,D36)</f>
        <v>37809.55092311287</v>
      </c>
      <c r="E88" s="19">
        <f>SUM(E72:E82,E66,E60,E54,E48,E42,E36)</f>
        <v>27222.55092311287</v>
      </c>
      <c r="F88" s="19">
        <f>SUM(F72:F82,F66,F60,F54,F48,F42,F36)</f>
        <v>29472.55092311287</v>
      </c>
      <c r="G88" s="19">
        <f>SUM(G72:G82,G66,G60,G54,G48,G42,G36)</f>
        <v>28422.55092311287</v>
      </c>
      <c r="H88" s="19">
        <f>SUM(H72:H82,H66,H60,H54,H48,H42,H36)</f>
        <v>28306.80733336928</v>
      </c>
      <c r="I88" s="19">
        <f>SUM(I72:I82,I66,I60,I54,I48,I42,I36)</f>
        <v>34315.99369629937</v>
      </c>
      <c r="J88" s="19">
        <f>SUM(J72:J82,J66,J60,J54,J48,J42,J36)</f>
        <v>26954.51374362569</v>
      </c>
      <c r="K88" s="19">
        <f>SUM(K72:K82,K66,K60,K54,K48,K42,K36)</f>
        <v>25579.51374362569</v>
      </c>
      <c r="L88" s="19">
        <f>SUM(L72:L82,L66,L60,L54,L48,L42,L36)</f>
        <v>27829.51374362569</v>
      </c>
      <c r="M88" s="19">
        <f>SUM(M72:M82,M66,M60,M54,M48,M42,M36)</f>
        <v>25579.51374362569</v>
      </c>
      <c r="N88" s="19">
        <f>SUM(N72:N82,N66,N60,N54,N48,N42,N36)</f>
        <v>25579.51374362569</v>
      </c>
      <c r="O88" s="19">
        <f>SUM(O72:O82,O66,O60,O54,O48,O42,O36)</f>
        <v>25579.51374362569</v>
      </c>
      <c r="P88" s="19">
        <f>SUM(P72:P82,P66,P60,P54,P48,P42,P36)</f>
        <v>36166.51374362569</v>
      </c>
      <c r="Q88" s="19">
        <f>SUM(Q72:Q82,Q66,Q60,Q54,Q48,Q42,Q36)</f>
        <v>25579.51374362569</v>
      </c>
      <c r="R88" s="19">
        <f>SUM(R72:R82,R66,R60,R54,R48,R42,R36)</f>
        <v>27829.51374362569</v>
      </c>
      <c r="S88" s="19">
        <f>SUM(S72:S82,S66,S60,S54,S48,S42,S36)</f>
        <v>26779.51374362569</v>
      </c>
      <c r="T88" s="19">
        <f>SUM(T72:T82,T66,T60,T54,T48,T42,T36)</f>
        <v>25579.51374362569</v>
      </c>
      <c r="U88" s="19">
        <f>SUM(U72:U82,U66,U60,U54,U48,U42,U36)</f>
        <v>34315.99369629937</v>
      </c>
      <c r="V88" s="19">
        <f>SUM(V72:V82,V66,V60,V54,V48,V42,V36)</f>
        <v>26954.51374362569</v>
      </c>
      <c r="W88" s="19">
        <f>SUM(W72:W82,W66,W60,W54,W48,W42,W36)</f>
        <v>25579.51374362569</v>
      </c>
      <c r="X88" s="19">
        <f>SUM(X72:X82,X66,X60,X54,X48,X42,X36)</f>
        <v>27829.51374362569</v>
      </c>
      <c r="Y88" s="19">
        <f>SUM(Y72:Y82,Y66,Y60,Y54,Y48,Y42,Y36)</f>
        <v>25579.51374362569</v>
      </c>
      <c r="Z88" s="19">
        <f>SUMIF($B$13:$Y$13,"Yes",B88:Y88)</f>
        <v>371517.6752864742</v>
      </c>
      <c r="AA88" s="19">
        <f>SUM(B88:M88)</f>
        <v>345938.1615428485</v>
      </c>
      <c r="AB88" s="19">
        <f>SUM(B88:Y88)</f>
        <v>679290.8064190304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75000</v>
      </c>
    </row>
    <row r="96" spans="1:30">
      <c r="A96" t="s">
        <v>62</v>
      </c>
      <c r="B96" s="36">
        <f>SUMPRODUCT(Inputs!C19:C21,Calculations!O14:O16)</f>
        <v>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2400000</v>
      </c>
    </row>
    <row r="98" spans="1:30">
      <c r="A98" t="s">
        <v>64</v>
      </c>
      <c r="B98" s="36">
        <f>IF(Inputs!B44="Yes",Inputs!B45,0)</f>
        <v>225000</v>
      </c>
    </row>
    <row r="99" spans="1:30">
      <c r="A99" t="s">
        <v>65</v>
      </c>
      <c r="B99" s="36">
        <f>Inputs!B46</f>
        <v>155000</v>
      </c>
    </row>
    <row r="100" spans="1:30" customHeight="1" ht="15.75">
      <c r="A100" s="18" t="s">
        <v>66</v>
      </c>
      <c r="B100" s="37">
        <f>Inputs!B48</f>
        <v>7500000</v>
      </c>
    </row>
    <row r="101" spans="1:30" customHeight="1" ht="15.75">
      <c r="A101" s="1" t="s">
        <v>67</v>
      </c>
      <c r="B101" s="19">
        <f>SUM(B94:B100)</f>
        <v>10480000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</v>
      </c>
    </row>
    <row r="105" spans="1:30">
      <c r="A105" t="s">
        <v>70</v>
      </c>
      <c r="B105" s="36">
        <f>SUM(Inputs!B56:B60)</f>
        <v>10554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113054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30</v>
      </c>
      <c r="N7" s="153">
        <v>1</v>
      </c>
      <c r="P7" s="41"/>
    </row>
    <row r="8" spans="1:48">
      <c r="A8" s="143" t="s">
        <v>94</v>
      </c>
      <c r="B8" s="16"/>
      <c r="C8" s="143">
        <v>2</v>
      </c>
      <c r="D8" s="16"/>
      <c r="E8" s="147" t="s">
        <v>90</v>
      </c>
      <c r="F8" s="149" t="s">
        <v>95</v>
      </c>
      <c r="G8" s="147"/>
      <c r="H8" s="147" t="s">
        <v>96</v>
      </c>
      <c r="I8" s="147" t="s">
        <v>92</v>
      </c>
      <c r="J8" s="148" t="s">
        <v>93</v>
      </c>
      <c r="K8" s="138"/>
      <c r="L8" s="16"/>
      <c r="M8" s="165">
        <v>20</v>
      </c>
      <c r="N8" s="154">
        <v>1</v>
      </c>
    </row>
    <row r="9" spans="1:48">
      <c r="A9" s="143" t="s">
        <v>97</v>
      </c>
      <c r="B9" s="16"/>
      <c r="C9" s="143">
        <v>0.5</v>
      </c>
      <c r="D9" s="16"/>
      <c r="E9" s="147" t="s">
        <v>98</v>
      </c>
      <c r="F9" s="149" t="s">
        <v>95</v>
      </c>
      <c r="G9" s="147"/>
      <c r="H9" s="147" t="s">
        <v>96</v>
      </c>
      <c r="I9" s="147" t="s">
        <v>92</v>
      </c>
      <c r="J9" s="148" t="s">
        <v>93</v>
      </c>
      <c r="K9" s="138"/>
      <c r="L9" s="16"/>
      <c r="M9" s="165">
        <v>0</v>
      </c>
      <c r="N9" s="154">
        <v>1</v>
      </c>
    </row>
    <row r="10" spans="1:48">
      <c r="A10" s="143" t="s">
        <v>99</v>
      </c>
      <c r="B10" s="16" t="s">
        <v>100</v>
      </c>
      <c r="C10" s="143">
        <v>0.5</v>
      </c>
      <c r="D10" s="16">
        <v>30</v>
      </c>
      <c r="E10" s="147" t="s">
        <v>101</v>
      </c>
      <c r="F10" s="149" t="s">
        <v>92</v>
      </c>
      <c r="G10" s="147"/>
      <c r="H10" s="147" t="s">
        <v>92</v>
      </c>
      <c r="I10" s="147" t="s">
        <v>92</v>
      </c>
      <c r="J10" s="148" t="s">
        <v>102</v>
      </c>
      <c r="K10" s="138" t="s">
        <v>103</v>
      </c>
      <c r="L10" s="16">
        <v>50</v>
      </c>
      <c r="M10" s="165">
        <v>20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105</v>
      </c>
      <c r="B18" s="10" t="s">
        <v>106</v>
      </c>
      <c r="C18" s="10" t="s">
        <v>107</v>
      </c>
      <c r="D18" s="10" t="s">
        <v>108</v>
      </c>
      <c r="E18" s="10" t="s">
        <v>109</v>
      </c>
      <c r="F18" s="10" t="s">
        <v>110</v>
      </c>
      <c r="G18" s="10" t="s">
        <v>111</v>
      </c>
      <c r="H18" s="10" t="s">
        <v>112</v>
      </c>
      <c r="I18" s="10" t="s">
        <v>113</v>
      </c>
      <c r="J18" s="10" t="s">
        <v>114</v>
      </c>
      <c r="K18" s="10" t="s">
        <v>115</v>
      </c>
      <c r="L18" s="10" t="s">
        <v>116</v>
      </c>
    </row>
    <row r="19" spans="1:48">
      <c r="A19" s="142" t="s">
        <v>117</v>
      </c>
      <c r="B19" s="20"/>
      <c r="C19" s="142">
        <v>2</v>
      </c>
      <c r="D19" s="145">
        <v>1</v>
      </c>
      <c r="E19" s="20"/>
      <c r="F19" s="145" t="s">
        <v>92</v>
      </c>
      <c r="G19" s="20"/>
      <c r="H19" s="20"/>
      <c r="I19" s="145" t="s">
        <v>118</v>
      </c>
      <c r="J19" s="145">
        <v>30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120</v>
      </c>
      <c r="B25" s="177">
        <v>100</v>
      </c>
    </row>
    <row r="27" spans="1:48">
      <c r="A27" s="14" t="s">
        <v>121</v>
      </c>
    </row>
    <row r="29" spans="1:48">
      <c r="A29" s="45" t="s">
        <v>122</v>
      </c>
      <c r="B29" s="156" t="s">
        <v>123</v>
      </c>
    </row>
    <row r="30" spans="1:48">
      <c r="A30" s="44" t="s">
        <v>124</v>
      </c>
      <c r="B30" s="157">
        <v>24000</v>
      </c>
    </row>
    <row r="31" spans="1:48">
      <c r="A31" s="5" t="s">
        <v>125</v>
      </c>
      <c r="B31" s="158">
        <v>4500</v>
      </c>
    </row>
    <row r="33" spans="1:48">
      <c r="A33" s="14" t="s">
        <v>126</v>
      </c>
    </row>
    <row r="34" spans="1:48">
      <c r="A34" s="10" t="s">
        <v>127</v>
      </c>
      <c r="B34" s="10" t="s">
        <v>128</v>
      </c>
      <c r="C34" s="10" t="s">
        <v>129</v>
      </c>
      <c r="D34" s="48" t="s">
        <v>130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132</v>
      </c>
      <c r="B40" s="160" t="s">
        <v>96</v>
      </c>
    </row>
    <row r="41" spans="1:48">
      <c r="A41" s="55" t="s">
        <v>133</v>
      </c>
      <c r="B41" s="140"/>
    </row>
    <row r="42" spans="1:48">
      <c r="A42" s="55" t="s">
        <v>134</v>
      </c>
      <c r="B42" s="139"/>
    </row>
    <row r="43" spans="1:48">
      <c r="A43" s="55" t="s">
        <v>135</v>
      </c>
      <c r="B43" s="160" t="s">
        <v>136</v>
      </c>
    </row>
    <row r="44" spans="1:48">
      <c r="A44" s="56" t="s">
        <v>137</v>
      </c>
      <c r="B44" s="160" t="s">
        <v>96</v>
      </c>
    </row>
    <row r="45" spans="1:48">
      <c r="A45" s="56" t="s">
        <v>138</v>
      </c>
      <c r="B45" s="161">
        <v>225000</v>
      </c>
    </row>
    <row r="46" spans="1:48" customHeight="1" ht="30">
      <c r="A46" s="57" t="s">
        <v>139</v>
      </c>
      <c r="B46" s="161">
        <v>155000</v>
      </c>
    </row>
    <row r="47" spans="1:48" customHeight="1" ht="30">
      <c r="A47" s="57" t="s">
        <v>140</v>
      </c>
      <c r="B47" s="161">
        <v>75000</v>
      </c>
    </row>
    <row r="48" spans="1:48" customHeight="1" ht="30">
      <c r="A48" s="57" t="s">
        <v>141</v>
      </c>
      <c r="B48" s="161">
        <v>7500000</v>
      </c>
    </row>
    <row r="49" spans="1:48" customHeight="1" ht="30">
      <c r="A49" s="57" t="s">
        <v>142</v>
      </c>
      <c r="B49" s="161">
        <v>25000</v>
      </c>
    </row>
    <row r="50" spans="1:48">
      <c r="A50" s="43"/>
      <c r="B50" s="36"/>
    </row>
    <row r="51" spans="1:48">
      <c r="A51" s="58" t="s">
        <v>143</v>
      </c>
      <c r="B51" s="161">
        <v>2500</v>
      </c>
    </row>
    <row r="52" spans="1:48">
      <c r="A52" s="43"/>
    </row>
    <row r="53" spans="1:48">
      <c r="A53" s="3" t="s">
        <v>144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145</v>
      </c>
      <c r="B55" s="10" t="s">
        <v>146</v>
      </c>
      <c r="C55" s="10" t="s">
        <v>147</v>
      </c>
      <c r="D55" s="10" t="s">
        <v>148</v>
      </c>
      <c r="E55" s="10" t="s">
        <v>149</v>
      </c>
      <c r="F55" s="10" t="s">
        <v>150</v>
      </c>
    </row>
    <row r="56" spans="1:48">
      <c r="A56" s="159">
        <v>7440</v>
      </c>
      <c r="B56" s="159">
        <v>0</v>
      </c>
      <c r="C56" s="162" t="s">
        <v>151</v>
      </c>
      <c r="D56" s="163" t="s">
        <v>152</v>
      </c>
      <c r="E56" s="163" t="s">
        <v>96</v>
      </c>
      <c r="F56" s="163" t="s">
        <v>153</v>
      </c>
    </row>
    <row r="57" spans="1:48">
      <c r="A57" s="157">
        <v>15830</v>
      </c>
      <c r="B57" s="157">
        <v>10554</v>
      </c>
      <c r="C57" s="164" t="s">
        <v>154</v>
      </c>
      <c r="D57" s="165" t="s">
        <v>152</v>
      </c>
      <c r="E57" s="165" t="s">
        <v>96</v>
      </c>
      <c r="F57" s="165" t="s">
        <v>155</v>
      </c>
    </row>
    <row r="58" spans="1:48">
      <c r="A58" s="157">
        <v>100000</v>
      </c>
      <c r="B58" s="157">
        <v>0</v>
      </c>
      <c r="C58" s="164" t="s">
        <v>156</v>
      </c>
      <c r="D58" s="165" t="s">
        <v>157</v>
      </c>
      <c r="E58" s="165" t="s">
        <v>96</v>
      </c>
      <c r="F58" s="165" t="s">
        <v>153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130</v>
      </c>
      <c r="B65" s="10" t="s">
        <v>159</v>
      </c>
      <c r="C65" s="10" t="s">
        <v>160</v>
      </c>
    </row>
    <row r="66" spans="1:48">
      <c r="A66" s="142" t="s">
        <v>103</v>
      </c>
      <c r="B66" s="159">
        <v>24227</v>
      </c>
      <c r="C66" s="163">
        <v>23950</v>
      </c>
      <c r="D66" s="49">
        <f>INDEX(Parameters!$D$79:$D$90,MATCH(Inputs!A66,Parameters!$C$79:$C$90,0))</f>
        <v>4</v>
      </c>
    </row>
    <row r="67" spans="1:48">
      <c r="A67" s="143" t="s">
        <v>161</v>
      </c>
      <c r="B67" s="157">
        <v>69947</v>
      </c>
      <c r="C67" s="165">
        <v>68590</v>
      </c>
      <c r="D67" s="49">
        <f>INDEX(Parameters!$D$79:$D$90,MATCH(Inputs!A67,Parameters!$C$79:$C$90,0))</f>
        <v>3</v>
      </c>
    </row>
    <row r="68" spans="1:48">
      <c r="A68" s="143" t="s">
        <v>162</v>
      </c>
      <c r="B68" s="157">
        <v>39714</v>
      </c>
      <c r="C68" s="165">
        <v>45627</v>
      </c>
      <c r="D68" s="49">
        <f>INDEX(Parameters!$D$79:$D$90,MATCH(Inputs!A68,Parameters!$C$79:$C$90,0))</f>
        <v>2</v>
      </c>
    </row>
    <row r="69" spans="1:48">
      <c r="A69" s="143" t="s">
        <v>102</v>
      </c>
      <c r="B69" s="157">
        <v>61357</v>
      </c>
      <c r="C69" s="165">
        <v>61350</v>
      </c>
      <c r="D69" s="49">
        <f>INDEX(Parameters!$D$79:$D$90,MATCH(Inputs!A69,Parameters!$C$79:$C$90,0))</f>
        <v>1</v>
      </c>
    </row>
    <row r="70" spans="1:48">
      <c r="A70" s="143" t="s">
        <v>163</v>
      </c>
      <c r="B70" s="157">
        <v>86444</v>
      </c>
      <c r="C70" s="165">
        <v>75450</v>
      </c>
      <c r="D70" s="49">
        <f>INDEX(Parameters!$D$79:$D$90,MATCH(Inputs!A70,Parameters!$C$79:$C$90,0))</f>
        <v>12</v>
      </c>
    </row>
    <row r="71" spans="1:48">
      <c r="A71" s="144" t="s">
        <v>164</v>
      </c>
      <c r="B71" s="158">
        <v>32310</v>
      </c>
      <c r="C71" s="167">
        <v>54250</v>
      </c>
      <c r="D71" s="49">
        <f>INDEX(Parameters!$D$79:$D$90,MATCH(Inputs!A71,Parameters!$C$79:$C$90,0))</f>
        <v>11</v>
      </c>
    </row>
    <row r="73" spans="1:48">
      <c r="A73" s="3" t="s">
        <v>165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166</v>
      </c>
      <c r="B75" s="161">
        <v>7</v>
      </c>
    </row>
    <row r="76" spans="1:48">
      <c r="A76" t="s">
        <v>167</v>
      </c>
      <c r="B76" s="168" t="s">
        <v>168</v>
      </c>
    </row>
    <row r="78" spans="1:48" customHeight="1" ht="20.25">
      <c r="B78" s="127" t="s">
        <v>169</v>
      </c>
    </row>
    <row r="79" spans="1:48">
      <c r="A79" t="s">
        <v>170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100000</v>
      </c>
    </row>
    <row r="82" spans="1:48">
      <c r="A82" t="s">
        <v>174</v>
      </c>
      <c r="B82" s="161">
        <v>18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12</v>
      </c>
    </row>
    <row r="86" spans="1:48">
      <c r="A86" t="s">
        <v>179</v>
      </c>
      <c r="B86" s="161"/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42887</v>
      </c>
      <c r="C4" s="38">
        <f>IFERROR(DATE(YEAR(B4),MONTH(B4)+ROUND(T4/2,0),DAY(B4)),B4)</f>
        <v>42887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10000</v>
      </c>
      <c r="M4" s="25">
        <f>L4*H4</f>
        <v>10000</v>
      </c>
      <c r="N4" s="22">
        <f>Calculations!U4</f>
        <v>0.3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147000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0.3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42887</v>
      </c>
      <c r="C5" s="39">
        <f>IFERROR(DATE(YEAR(B5),MONTH(B5)+ROUND(T5/2,0),DAY(B5)),B5)</f>
        <v>42979</v>
      </c>
      <c r="D5" s="39">
        <f>IFERROR(DATE(YEAR(B5),MONTH(B5)+T5,DAY(B5)),"")</f>
        <v>43040</v>
      </c>
      <c r="E5" s="39">
        <f>IFERROR(IF($S5=0,"",IF($S5=2,DATE(YEAR(B5),MONTH(B5)+6,DAY(B5)),IF($S5=1,B5,""))),"")</f>
        <v>42887</v>
      </c>
      <c r="F5" s="39">
        <f>IFERROR(IF($S5=0,"",IF($S5=2,DATE(YEAR(C5),MONTH(C5)+6,DAY(C5)),IF($S5=1,C5,""))),"")</f>
        <v>42979</v>
      </c>
      <c r="G5" s="39">
        <f>IFERROR(IF($S5=0,"",IF($S5=2,DATE(YEAR(D5),MONTH(D5)+6,DAY(D5)),IF($S5=1,D5,""))),"")</f>
        <v>43040</v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1899.234772320367</v>
      </c>
      <c r="N5" s="22">
        <f>Calculations!U5</f>
        <v>0.2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31907.14417498217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606.0000000000001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4368.239976336844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Tomatoes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42887</v>
      </c>
      <c r="C6" s="39">
        <f>IFERROR(DATE(YEAR(B6),MONTH(B6)+ROUND(T6/2,0),DAY(B6)),B6)</f>
        <v>42948</v>
      </c>
      <c r="D6" s="39">
        <f>IFERROR(DATE(YEAR(B6),MONTH(B6)+T6,DAY(B6)),"")</f>
        <v>42979</v>
      </c>
      <c r="E6" s="39">
        <f>IFERROR(IF($S6=0,"",IF($S6=2,DATE(YEAR(B6),MONTH(B6)+6,DAY(B6)),IF($S6=1,B6,""))),"")</f>
        <v>43070</v>
      </c>
      <c r="F6" s="39">
        <f>IFERROR(IF($S6=0,"",IF($S6=2,DATE(YEAR(C6),MONTH(C6)+6,DAY(C6)),IF($S6=1,C6,""))),"")</f>
        <v>43132</v>
      </c>
      <c r="G6" s="39">
        <f>IFERROR(IF($S6=0,"",IF($S6=2,DATE(YEAR(D6),MONTH(D6)+6,DAY(D6)),IF($S6=1,D6,""))),"")</f>
        <v>43160</v>
      </c>
      <c r="H6" s="16">
        <f>Inputs!C9</f>
        <v>0.5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3933.029533398966</v>
      </c>
      <c r="M6" s="30">
        <f>L6*H6</f>
        <v>1966.514766699483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35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137656.0336689638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375</v>
      </c>
      <c r="W6" s="34">
        <f>IFERROR(J6*H6*Parameters!$B$35+IF(OR(Inputs!F9=Parameters!$E$78,Inputs!F9=Parameters!$E$80),Calculations!H6*Parameters!$B$36,0),0)</f>
        <v>1000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2250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43101</v>
      </c>
      <c r="C7" s="39">
        <f>IFERROR(DATE(YEAR(B7),MONTH(B7)+ROUND(T7/2,0),DAY(B7)),B7)</f>
        <v>43101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0.5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60</v>
      </c>
      <c r="M7" s="30">
        <f>L7*H7</f>
        <v>30</v>
      </c>
      <c r="N7" s="22">
        <f>Calculations!U7</f>
        <v>0.2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50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1200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0.2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105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0.3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53655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145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52">
      <c r="A23" s="75">
        <f>Inputs!A56</f>
        <v>7440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15830</v>
      </c>
      <c r="B24" s="46">
        <f>SUM(C24:D24)</f>
        <v>1643.03717948718</v>
      </c>
      <c r="C24" s="46">
        <f>IF(Inputs!B57&gt;0,(Inputs!A57-Inputs!B57)/(DATE(YEAR(Inputs!$B$76),MONTH(Inputs!$B$76),DAY(Inputs!$B$76))-DATE(YEAR(Inputs!C57),MONTH(Inputs!C57),DAY(Inputs!C57)))*30,0)</f>
        <v>1352.820512820513</v>
      </c>
      <c r="D24" s="46">
        <f>IF(Inputs!B57&gt;0,Inputs!A57*0.22/12,0)</f>
        <v>290.2166666666666</v>
      </c>
      <c r="E24" s="46">
        <f>IFERROR(ROUNDUP(Inputs!B57/B24,0),0)</f>
        <v>7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42879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42856</v>
      </c>
      <c r="F33" t="s">
        <v>170</v>
      </c>
      <c r="G33" s="128">
        <f>IF(Inputs!B79="","",DATE(YEAR(Inputs!B79),MONTH(Inputs!B79),DAY(Inputs!B79)))</f>
        <v>42849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42910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42887</v>
      </c>
      <c r="F34" t="s">
        <v>171</v>
      </c>
      <c r="G34" s="128">
        <f>IF(Inputs!B80="","",DATE(YEAR(Inputs!B80),MONTH(Inputs!B80),DAY(Inputs!B80)))</f>
        <v>42879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42940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42917</v>
      </c>
      <c r="F35" t="s">
        <v>173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42971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42948</v>
      </c>
      <c r="F36" t="s">
        <v>174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43002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42979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43032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43009</v>
      </c>
      <c r="F38" t="s">
        <v>236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43063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43040</v>
      </c>
      <c r="F39" t="s">
        <v>179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43093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43070</v>
      </c>
      <c r="F40" t="s">
        <v>180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43124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43101</v>
      </c>
      <c r="F41" t="s">
        <v>237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43155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43132</v>
      </c>
      <c r="F42" t="s">
        <v>238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43183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43214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105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211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303</v>
      </c>
      <c r="B24" s="21" t="s">
        <v>304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117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304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308</v>
      </c>
      <c r="B27" s="71" t="s">
        <v>304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309</v>
      </c>
      <c r="B28" s="71" t="s">
        <v>304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310</v>
      </c>
      <c r="B29" s="118" t="s">
        <v>304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311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313</v>
      </c>
      <c r="B34" s="11" t="s">
        <v>314</v>
      </c>
    </row>
    <row r="35" spans="1:36">
      <c r="A35" t="s">
        <v>315</v>
      </c>
      <c r="B35" s="72">
        <v>60</v>
      </c>
      <c r="C35" s="86"/>
    </row>
    <row r="36" spans="1:36">
      <c r="A36" t="s">
        <v>316</v>
      </c>
      <c r="B36" s="72">
        <v>2000</v>
      </c>
      <c r="C36" s="86"/>
    </row>
    <row r="37" spans="1:36">
      <c r="A37" t="s">
        <v>317</v>
      </c>
      <c r="B37" s="2">
        <v>0.4</v>
      </c>
    </row>
    <row r="39" spans="1:36">
      <c r="A39" s="3" t="s">
        <v>318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319</v>
      </c>
      <c r="C40" s="193"/>
    </row>
    <row r="41" spans="1:36">
      <c r="A41" s="5" t="s">
        <v>105</v>
      </c>
      <c r="B41" s="191" t="s">
        <v>92</v>
      </c>
      <c r="C41" s="191" t="s">
        <v>96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303</v>
      </c>
      <c r="B43" s="72">
        <v>450</v>
      </c>
      <c r="C43" s="72">
        <v>250</v>
      </c>
    </row>
    <row r="44" spans="1:36">
      <c r="A44" t="s">
        <v>117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308</v>
      </c>
      <c r="B46" s="72">
        <v>6000</v>
      </c>
      <c r="C46" s="72">
        <v>12000</v>
      </c>
    </row>
    <row r="47" spans="1:36">
      <c r="A47" t="s">
        <v>309</v>
      </c>
      <c r="B47" s="72">
        <v>4500</v>
      </c>
      <c r="C47" s="72">
        <v>12000</v>
      </c>
    </row>
    <row r="48" spans="1:36">
      <c r="A48" t="s">
        <v>310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94</v>
      </c>
      <c r="E52" s="12" t="s">
        <v>94</v>
      </c>
      <c r="F52" s="12" t="s">
        <v>94</v>
      </c>
      <c r="G52" s="12" t="s">
        <v>321</v>
      </c>
      <c r="H52" s="12" t="s">
        <v>136</v>
      </c>
      <c r="I52" s="12" t="s">
        <v>322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239</v>
      </c>
      <c r="E53" s="10" t="s">
        <v>198</v>
      </c>
      <c r="F53" s="10" t="s">
        <v>258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176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235</v>
      </c>
      <c r="J76" s="11" t="s">
        <v>355</v>
      </c>
      <c r="K76" s="11" t="s">
        <v>188</v>
      </c>
      <c r="AJ76" s="12"/>
    </row>
    <row r="77" spans="1:36">
      <c r="A77" t="s">
        <v>96</v>
      </c>
      <c r="B77" s="176">
        <v>0</v>
      </c>
      <c r="C77" s="12" t="s">
        <v>356</v>
      </c>
      <c r="E77" s="12" t="s">
        <v>92</v>
      </c>
      <c r="F77" s="12" t="s">
        <v>92</v>
      </c>
      <c r="G77" s="12" t="s">
        <v>357</v>
      </c>
      <c r="H77" s="12" t="s">
        <v>136</v>
      </c>
      <c r="I77" s="12" t="s">
        <v>358</v>
      </c>
      <c r="J77" s="136" t="s">
        <v>101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359</v>
      </c>
      <c r="D78" s="133"/>
      <c r="E78" s="12" t="s">
        <v>91</v>
      </c>
      <c r="F78" s="12" t="s">
        <v>360</v>
      </c>
      <c r="G78" s="12" t="s">
        <v>118</v>
      </c>
      <c r="H78" s="12" t="s">
        <v>322</v>
      </c>
      <c r="I78" s="12" t="s">
        <v>361</v>
      </c>
      <c r="J78" s="70" t="s">
        <v>362</v>
      </c>
      <c r="K78" s="12" t="s">
        <v>92</v>
      </c>
      <c r="AJ78" s="12"/>
    </row>
    <row r="79" spans="1:36">
      <c r="B79" s="176">
        <v>10</v>
      </c>
      <c r="C79" s="12" t="s">
        <v>102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176</v>
      </c>
      <c r="J79" s="70" t="s">
        <v>98</v>
      </c>
      <c r="K79" s="12" t="s">
        <v>92</v>
      </c>
      <c r="AJ79" s="12"/>
    </row>
    <row r="80" spans="1:36">
      <c r="B80" s="176">
        <v>20</v>
      </c>
      <c r="C80" s="12" t="s">
        <v>162</v>
      </c>
      <c r="D80" s="12">
        <f>D79+1</f>
        <v>2</v>
      </c>
      <c r="E80" s="12" t="s">
        <v>95</v>
      </c>
      <c r="F80" s="12" t="s">
        <v>366</v>
      </c>
      <c r="J80" s="70" t="s">
        <v>90</v>
      </c>
      <c r="K80" s="12" t="s">
        <v>96</v>
      </c>
      <c r="AJ80" s="12"/>
    </row>
    <row r="81" spans="1:36">
      <c r="B81" s="176">
        <v>30</v>
      </c>
      <c r="C81" s="12" t="s">
        <v>161</v>
      </c>
      <c r="D81" s="12">
        <f>D80+1</f>
        <v>3</v>
      </c>
      <c r="J81" s="70" t="s">
        <v>367</v>
      </c>
      <c r="K81" s="12" t="s">
        <v>96</v>
      </c>
    </row>
    <row r="82" spans="1:36">
      <c r="B82" s="176">
        <v>40</v>
      </c>
      <c r="C82" s="12" t="s">
        <v>103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93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370</v>
      </c>
      <c r="D86" s="12">
        <f>D85+1</f>
        <v>8</v>
      </c>
    </row>
    <row r="87" spans="1:36">
      <c r="B87" s="176">
        <v>89.99999999999999</v>
      </c>
      <c r="C87" s="12" t="s">
        <v>371</v>
      </c>
      <c r="D87" s="12">
        <f>D86+1</f>
        <v>9</v>
      </c>
    </row>
    <row r="88" spans="1:36">
      <c r="B88" s="176">
        <v>99.99999999999999</v>
      </c>
      <c r="C88" s="12" t="s">
        <v>372</v>
      </c>
      <c r="D88" s="12">
        <f>D87+1</f>
        <v>10</v>
      </c>
    </row>
    <row r="89" spans="1:36">
      <c r="C89" s="12" t="s">
        <v>164</v>
      </c>
      <c r="D89" s="12">
        <f>D88+1</f>
        <v>11</v>
      </c>
    </row>
    <row r="90" spans="1:36">
      <c r="C90" s="12" t="s">
        <v>163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