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<sst xmlns="http://schemas.openxmlformats.org/spreadsheetml/2006/main" uniqueCount="365">
  <si>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</si>
  <si>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</si>
  <si>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</si>
  <si>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</si>
  <si>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</si>
  <si>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</si>
  <si>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</si>
  <si>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</si>
  <si>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</si>
  <si>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</si>
  <si>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</si>
  <si>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</si>
  <si>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</si>
  <si>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</si>
  <si>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</si>
  <si>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</si>
  <si>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</si>
  <si>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</si>
  <si>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</si>
  <si>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</si>
  <si>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</si>
  <si>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</si>
  <si>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</si>
  <si>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</si>
  <si>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</si>
  <si>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</si>
  <si>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</si>
  <si>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</si>
  <si>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</si>
  <si>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</si>
  <si>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</si>
  <si>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</si>
  <si>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</si>
  <si>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</si>
  <si>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</si>
  <si>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</si>
  <si>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</si>
  <si>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</si>
  <si>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</si>
  <si>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</si>
  <si>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</si>
  <si>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</si>
  <si>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</si>
  <si>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</si>
  <si>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</si>
  <si>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</si>
  <si>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</si>
  <si>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</si>
  <si>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</si>
  <si>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</si>
  <si>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</si>
  <si>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</si>
  <si>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</si>
  <si>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</si>
  <si>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</si>
  <si>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</si>
  <si>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</si>
  <si>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</si>
  <si>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</si>
  <si>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</si>
  <si>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</si>
  <si>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</si>
  <si>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</si>
  <si>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</si>
  <si>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</si>
  <si>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</si>
  <si>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</si>
  <si>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</si>
  <si>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</si>
  <si>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</si>
  <si>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</si>
  <si>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</si>
  <si>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</si>
  <si>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</si>
  <si>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</si>
  <si>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</si>
  <si>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</si>
  <si>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</si>
  <si>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</si>
  <si>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</si>
  <si>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</si>
  <si>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</si>
  <si>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</si>
  <si>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</si>
  <si>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</si>
  <si>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</si>
  <si>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</si>
  <si>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</si>
  <si>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</si>
  <si>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</si>
  <si>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</si>
  <si>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No</t>
  </si>
  <si>
    <t>Yes</t>
  </si>
  <si>
    <t>Yes using a diesel pump</t>
  </si>
  <si>
    <t>August</t>
  </si>
  <si>
    <t>Cassava</t>
  </si>
  <si>
    <t>Home recycled</t>
  </si>
  <si>
    <t>Yes only manure</t>
  </si>
  <si>
    <t>September</t>
  </si>
  <si>
    <t>Other crops</t>
  </si>
  <si>
    <t>Shop_common variety</t>
  </si>
  <si>
    <t>January</t>
  </si>
  <si>
    <t>Tomatoes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</si>
  <si>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</si>
  <si>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</si>
  <si>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</si>
  <si>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</si>
  <si>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</si>
  <si>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</si>
  <si>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</si>
  <si>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</si>
  <si>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</si>
  <si>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</si>
  <si>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</si>
  <si>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</si>
  <si>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</si>
  <si>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</si>
  <si>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</si>
  <si>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</si>
  <si>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</si>
  <si>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 as a chief, rentals and retail shop at Godkwer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</si>
  <si>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</si>
  <si>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</si>
  <si>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</si>
  <si>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</si>
  <si>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</si>
  <si>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</si>
  <si>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</si>
  <si>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</si>
  <si>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</si>
  <si>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</si>
  <si>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</si>
  <si>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</si>
  <si>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</si>
  <si>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</si>
  <si>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</si>
  <si>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</si>
  <si>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</si>
  <si>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</si>
  <si>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</si>
  <si>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</si>
  <si>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</si>
  <si>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</si>
  <si>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</si>
  <si>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</si>
  <si>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</si>
  <si>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</si>
  <si>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</si>
  <si>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</si>
  <si>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</si>
  <si>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</si>
  <si>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April</t>
  </si>
  <si>
    <t>May</t>
  </si>
  <si>
    <t>June</t>
  </si>
  <si>
    <t>July</t>
  </si>
  <si>
    <t>Loan info</t>
  </si>
  <si>
    <t>Branch ID</t>
  </si>
  <si>
    <t>Submission date</t>
  </si>
  <si>
    <t>2017/4/25</t>
  </si>
  <si>
    <t>Loan terms</t>
  </si>
  <si>
    <t>Expected disbursement date</t>
  </si>
  <si>
    <t>Expected first repayment date</t>
  </si>
  <si>
    <t>2017/8/25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</si>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</sst>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Cassava, 0, Tomatoes,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 as a chief, rentals and retail shop at Godkwer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0.8513742151877607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0.343878954607978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85000</v>
      </c>
    </row>
    <row r="17" spans="1:7">
      <c r="B17" s="1" t="s">
        <v>11</v>
      </c>
      <c r="C17" s="36">
        <f>SUM(Output!B6:M6)</f>
        <v>248385.8858264135</v>
      </c>
    </row>
    <row r="18" spans="1:7">
      <c r="B18" s="1" t="s">
        <v>12</v>
      </c>
      <c r="C18" s="36">
        <f>MIN(Output!B6:M6)</f>
        <v>-12939.2158792452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133216.8177897186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133216.8177897186</v>
      </c>
      <c r="C6" s="51">
        <f>C30-C88</f>
        <v>-3539.215879245196</v>
      </c>
      <c r="D6" s="51">
        <f>D30-D88</f>
        <v>-1539.215879245196</v>
      </c>
      <c r="E6" s="51">
        <f>E30-E88</f>
        <v>-7189.215879245196</v>
      </c>
      <c r="F6" s="51">
        <f>F30-F88</f>
        <v>-6851.215879245196</v>
      </c>
      <c r="G6" s="51">
        <f>G30-G88</f>
        <v>-12939.2158792452</v>
      </c>
      <c r="H6" s="51">
        <f>H30-H88</f>
        <v>133216.8177897186</v>
      </c>
      <c r="I6" s="51">
        <f>I30-I88</f>
        <v>-1539.215879245196</v>
      </c>
      <c r="J6" s="51">
        <f>J30-J88</f>
        <v>36117.19316018306</v>
      </c>
      <c r="K6" s="51">
        <f>K30-K88</f>
        <v>-7189.215879245196</v>
      </c>
      <c r="L6" s="51">
        <f>L30-L88</f>
        <v>-4439.215879245196</v>
      </c>
      <c r="M6" s="51">
        <f>M30-M88</f>
        <v>-8939.215879245196</v>
      </c>
      <c r="N6" s="51">
        <f>N30-N88</f>
        <v>133216.8177897186</v>
      </c>
      <c r="O6" s="51">
        <f>O30-O88</f>
        <v>-3539.215879245196</v>
      </c>
      <c r="P6" s="51">
        <f>P30-P88</f>
        <v>-1539.215879245196</v>
      </c>
      <c r="Q6" s="51">
        <f>Q30-Q88</f>
        <v>-7189.215879245196</v>
      </c>
      <c r="R6" s="51">
        <f>R30-R88</f>
        <v>-6851.215879245196</v>
      </c>
      <c r="S6" s="51">
        <f>S30-S88</f>
        <v>-12939.2158792452</v>
      </c>
      <c r="T6" s="51">
        <f>T30-T88</f>
        <v>133216.8177897186</v>
      </c>
      <c r="U6" s="51">
        <f>U30-U88</f>
        <v>-1539.215879245196</v>
      </c>
      <c r="V6" s="51">
        <f>V30-V88</f>
        <v>36117.19316018306</v>
      </c>
      <c r="W6" s="51">
        <f>W30-W88</f>
        <v>-7189.215879245196</v>
      </c>
      <c r="X6" s="51">
        <f>X30-X88</f>
        <v>-4439.215879245196</v>
      </c>
      <c r="Y6" s="51">
        <f>Y30-Y88</f>
        <v>-8939.215879245196</v>
      </c>
      <c r="Z6" s="51">
        <f>SUMIF($B$13:$Y$13,"Yes",B6:Y6)</f>
        <v>496771.771652827</v>
      </c>
      <c r="AA6" s="51">
        <f>AA30-AA88</f>
        <v>248385.8858264135</v>
      </c>
      <c r="AB6" s="51">
        <f>AB30-AB88</f>
        <v>496771.7716528268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33000</v>
      </c>
      <c r="C7" s="80">
        <f>IF(ISERROR(VLOOKUP(MONTH(C5),Inputs!$D$66:$D$71,1,0)),"",INDEX(Inputs!$B$66:$B$71,MATCH(MONTH(Output!C5),Inputs!$D$66:$D$71,0))-INDEX(Inputs!$C$66:$C$71,MATCH(MONTH(Output!C5),Inputs!$D$66:$D$71,0)))</f>
        <v>36000</v>
      </c>
      <c r="D7" s="80">
        <f>IF(ISERROR(VLOOKUP(MONTH(D5),Inputs!$D$66:$D$71,1,0)),"",INDEX(Inputs!$B$66:$B$71,MATCH(MONTH(Output!D5),Inputs!$D$66:$D$71,0))-INDEX(Inputs!$C$66:$C$71,MATCH(MONTH(Output!D5),Inputs!$D$66:$D$71,0)))</f>
        <v>31000</v>
      </c>
      <c r="E7" s="80">
        <f>IF(ISERROR(VLOOKUP(MONTH(E5),Inputs!$D$66:$D$71,1,0)),"",INDEX(Inputs!$B$66:$B$71,MATCH(MONTH(Output!E5),Inputs!$D$66:$D$71,0))-INDEX(Inputs!$C$66:$C$71,MATCH(MONTH(Output!E5),Inputs!$D$66:$D$71,0)))</f>
        <v>20000</v>
      </c>
      <c r="F7" s="80">
        <f>IF(ISERROR(VLOOKUP(MONTH(F5),Inputs!$D$66:$D$71,1,0)),"",INDEX(Inputs!$B$66:$B$71,MATCH(MONTH(Output!F5),Inputs!$D$66:$D$71,0))-INDEX(Inputs!$C$66:$C$71,MATCH(MONTH(Output!F5),Inputs!$D$66:$D$71,0)))</f>
        <v>185000</v>
      </c>
      <c r="G7" s="80">
        <f>IF(ISERROR(VLOOKUP(MONTH(G5),Inputs!$D$66:$D$71,1,0)),"",INDEX(Inputs!$B$66:$B$71,MATCH(MONTH(Output!G5),Inputs!$D$66:$D$71,0))-INDEX(Inputs!$C$66:$C$71,MATCH(MONTH(Output!G5),Inputs!$D$66:$D$71,0)))</f>
        <v>382000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33000</v>
      </c>
      <c r="O7" s="80">
        <f>IF(ISERROR(VLOOKUP(MONTH(O5),Inputs!$D$66:$D$71,1,0)),"",INDEX(Inputs!$B$66:$B$71,MATCH(MONTH(Output!O5),Inputs!$D$66:$D$71,0))-INDEX(Inputs!$C$66:$C$71,MATCH(MONTH(Output!O5),Inputs!$D$66:$D$71,0)))</f>
        <v>36000</v>
      </c>
      <c r="P7" s="80">
        <f>IF(ISERROR(VLOOKUP(MONTH(P5),Inputs!$D$66:$D$71,1,0)),"",INDEX(Inputs!$B$66:$B$71,MATCH(MONTH(Output!P5),Inputs!$D$66:$D$71,0))-INDEX(Inputs!$C$66:$C$71,MATCH(MONTH(Output!P5),Inputs!$D$66:$D$71,0)))</f>
        <v>31000</v>
      </c>
      <c r="Q7" s="80">
        <f>IF(ISERROR(VLOOKUP(MONTH(Q5),Inputs!$D$66:$D$71,1,0)),"",INDEX(Inputs!$B$66:$B$71,MATCH(MONTH(Output!Q5),Inputs!$D$66:$D$71,0))-INDEX(Inputs!$C$66:$C$71,MATCH(MONTH(Output!Q5),Inputs!$D$66:$D$71,0)))</f>
        <v>20000</v>
      </c>
      <c r="R7" s="80">
        <f>IF(ISERROR(VLOOKUP(MONTH(R5),Inputs!$D$66:$D$71,1,0)),"",INDEX(Inputs!$B$66:$B$71,MATCH(MONTH(Output!R5),Inputs!$D$66:$D$71,0))-INDEX(Inputs!$C$66:$C$71,MATCH(MONTH(Output!R5),Inputs!$D$66:$D$71,0)))</f>
        <v>185000</v>
      </c>
      <c r="S7" s="80">
        <f>IF(ISERROR(VLOOKUP(MONTH(S5),Inputs!$D$66:$D$71,1,0)),"",INDEX(Inputs!$B$66:$B$71,MATCH(MONTH(Output!S5),Inputs!$D$66:$D$71,0))-INDEX(Inputs!$C$66:$C$71,MATCH(MONTH(Output!S5),Inputs!$D$66:$D$71,0)))</f>
        <v>382000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1500000</v>
      </c>
      <c r="AA9" s="75">
        <f>SUM(B9:M9)</f>
        <v>1500000</v>
      </c>
      <c r="AB9" s="75">
        <f>SUM(B9:Y9)</f>
        <v>1500000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0</v>
      </c>
      <c r="E10" s="37">
        <f>SUMPRODUCT((Calculations!$D$33:$D$84=Output!E5)+0,Calculations!$C$33:$C$84)</f>
        <v>0</v>
      </c>
      <c r="F10" s="37">
        <f>SUMPRODUCT((Calculations!$D$33:$D$84=Output!F5)+0,Calculations!$C$33:$C$84)</f>
        <v>85000</v>
      </c>
      <c r="G10" s="37">
        <f>SUMPRODUCT((Calculations!$D$33:$D$84=Output!G5)+0,Calculations!$C$33:$C$84)</f>
        <v>85000</v>
      </c>
      <c r="H10" s="37">
        <f>SUMPRODUCT((Calculations!$D$33:$D$84=Output!H5)+0,Calculations!$C$33:$C$84)</f>
        <v>85000</v>
      </c>
      <c r="I10" s="37">
        <f>SUMPRODUCT((Calculations!$D$33:$D$84=Output!I5)+0,Calculations!$C$33:$C$84)</f>
        <v>85000</v>
      </c>
      <c r="J10" s="37">
        <f>SUMPRODUCT((Calculations!$D$33:$D$84=Output!J5)+0,Calculations!$C$33:$C$84)</f>
        <v>85000</v>
      </c>
      <c r="K10" s="37">
        <f>SUMPRODUCT((Calculations!$D$33:$D$84=Output!K5)+0,Calculations!$C$33:$C$84)</f>
        <v>85000</v>
      </c>
      <c r="L10" s="37">
        <f>SUMPRODUCT((Calculations!$D$33:$D$84=Output!L5)+0,Calculations!$C$33:$C$84)</f>
        <v>85000</v>
      </c>
      <c r="M10" s="37">
        <f>SUMPRODUCT((Calculations!$D$33:$D$84=Output!M5)+0,Calculations!$C$33:$C$84)</f>
        <v>85000</v>
      </c>
      <c r="N10" s="37">
        <f>SUMPRODUCT((Calculations!$D$33:$D$84=Output!N5)+0,Calculations!$C$33:$C$84)</f>
        <v>85000</v>
      </c>
      <c r="O10" s="37">
        <f>SUMPRODUCT((Calculations!$D$33:$D$84=Output!O5)+0,Calculations!$C$33:$C$84)</f>
        <v>85000</v>
      </c>
      <c r="P10" s="37">
        <f>SUMPRODUCT((Calculations!$D$33:$D$84=Output!P5)+0,Calculations!$C$33:$C$84)</f>
        <v>85000</v>
      </c>
      <c r="Q10" s="37">
        <f>SUMPRODUCT((Calculations!$D$33:$D$84=Output!Q5)+0,Calculations!$C$33:$C$84)</f>
        <v>85000</v>
      </c>
      <c r="R10" s="37">
        <f>SUMPRODUCT((Calculations!$D$33:$D$84=Output!R5)+0,Calculations!$C$33:$C$84)</f>
        <v>85000</v>
      </c>
      <c r="S10" s="37">
        <f>SUMPRODUCT((Calculations!$D$33:$D$84=Output!S5)+0,Calculations!$C$33:$C$84)</f>
        <v>85000</v>
      </c>
      <c r="T10" s="37">
        <f>SUMPRODUCT((Calculations!$D$33:$D$84=Output!T5)+0,Calculations!$C$33:$C$84)</f>
        <v>85000</v>
      </c>
      <c r="U10" s="37">
        <f>SUMPRODUCT((Calculations!$D$33:$D$84=Output!U5)+0,Calculations!$C$33:$C$84)</f>
        <v>85000</v>
      </c>
      <c r="V10" s="37">
        <f>SUMPRODUCT((Calculations!$D$33:$D$84=Output!V5)+0,Calculations!$C$33:$C$84)</f>
        <v>85000</v>
      </c>
      <c r="W10" s="37">
        <f>SUMPRODUCT((Calculations!$D$33:$D$84=Output!W5)+0,Calculations!$C$33:$C$84)</f>
        <v>85000</v>
      </c>
      <c r="X10" s="37">
        <f>SUMPRODUCT((Calculations!$D$33:$D$84=Output!X5)+0,Calculations!$C$33:$C$84)</f>
        <v>85000</v>
      </c>
      <c r="Y10" s="37">
        <f>SUMPRODUCT((Calculations!$D$33:$D$84=Output!Y5)+0,Calculations!$C$33:$C$84)</f>
        <v>85000</v>
      </c>
      <c r="Z10" s="37">
        <f>SUMIF($B$13:$Y$13,"Yes",B10:Y10)</f>
        <v>1700000</v>
      </c>
      <c r="AA10" s="37">
        <f>SUM(B10:M10)</f>
        <v>680000</v>
      </c>
      <c r="AB10" s="37">
        <f>SUM(B10:Y10)</f>
        <v>1700000</v>
      </c>
    </row>
    <row r="11" spans="1:30" customHeight="1" ht="15.75">
      <c r="A11" s="43" t="s">
        <v>31</v>
      </c>
      <c r="B11" s="80">
        <f>B6+B9-B10</f>
        <v>1633216.817789719</v>
      </c>
      <c r="C11" s="80">
        <f>C6+C9-C10</f>
        <v>-3539.215879245196</v>
      </c>
      <c r="D11" s="80">
        <f>D6+D9-D10</f>
        <v>-1539.215879245196</v>
      </c>
      <c r="E11" s="80">
        <f>E6+E9-E10</f>
        <v>-7189.215879245196</v>
      </c>
      <c r="F11" s="80">
        <f>F6+F9-F10</f>
        <v>-91851.2158792452</v>
      </c>
      <c r="G11" s="80">
        <f>G6+G9-G10</f>
        <v>-97939.2158792452</v>
      </c>
      <c r="H11" s="80">
        <f>H6+H9-H10</f>
        <v>48216.81778971863</v>
      </c>
      <c r="I11" s="80">
        <f>I6+I9-I10</f>
        <v>-86539.2158792452</v>
      </c>
      <c r="J11" s="80">
        <f>J6+J9-J10</f>
        <v>-48882.80683981694</v>
      </c>
      <c r="K11" s="80">
        <f>K6+K9-K10</f>
        <v>-92189.2158792452</v>
      </c>
      <c r="L11" s="80">
        <f>L6+L9-L10</f>
        <v>-89439.2158792452</v>
      </c>
      <c r="M11" s="80">
        <f>M6+M9-M10</f>
        <v>-93939.2158792452</v>
      </c>
      <c r="N11" s="80">
        <f>N6+N9-N10</f>
        <v>48216.81778971863</v>
      </c>
      <c r="O11" s="80">
        <f>O6+O9-O10</f>
        <v>-88539.2158792452</v>
      </c>
      <c r="P11" s="80">
        <f>P6+P9-P10</f>
        <v>-86539.2158792452</v>
      </c>
      <c r="Q11" s="80">
        <f>Q6+Q9-Q10</f>
        <v>-92189.2158792452</v>
      </c>
      <c r="R11" s="80">
        <f>R6+R9-R10</f>
        <v>-91851.2158792452</v>
      </c>
      <c r="S11" s="80">
        <f>S6+S9-S10</f>
        <v>-97939.2158792452</v>
      </c>
      <c r="T11" s="80">
        <f>T6+T9-T10</f>
        <v>48216.81778971863</v>
      </c>
      <c r="U11" s="80">
        <f>U6+U9-U10</f>
        <v>-86539.2158792452</v>
      </c>
      <c r="V11" s="80">
        <f>V6+V9-V10</f>
        <v>-48882.80683981694</v>
      </c>
      <c r="W11" s="80">
        <f>W6+W9-W10</f>
        <v>-92189.2158792452</v>
      </c>
      <c r="X11" s="80">
        <f>X6+X9-X10</f>
        <v>-89439.2158792452</v>
      </c>
      <c r="Y11" s="80">
        <f>Y6+Y9-Y10</f>
        <v>-93939.2158792452</v>
      </c>
      <c r="Z11" s="85">
        <f>SUMIF($B$13:$Y$13,"Yes",B11:Y11)</f>
        <v>296771.7716528269</v>
      </c>
      <c r="AA11" s="80">
        <f>SUM(B11:M11)</f>
        <v>1068385.885826413</v>
      </c>
      <c r="AB11" s="46">
        <f>SUM(B11:Y11)</f>
        <v>296771.7716528269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</v>
      </c>
      <c r="E12" s="82">
        <f>IF(E13="Yes",IF(SUM($B$10:E10)/(SUM($B$6:E6)+SUM($B$9:E9))&lt;0,999.99,SUM($B$10:E10)/(SUM($B$6:E6)+SUM($B$9:E9))),"")</f>
        <v>0</v>
      </c>
      <c r="F12" s="82">
        <f>IF(F13="Yes",IF(SUM($B$10:F10)/(SUM($B$6:F6)+SUM($B$9:F9))&lt;0,999.99,SUM($B$10:F10)/(SUM($B$6:F6)+SUM($B$9:F9))),"")</f>
        <v>0.05266099233630363</v>
      </c>
      <c r="G12" s="82">
        <f>IF(G13="Yes",IF(SUM($B$10:G10)/(SUM($B$6:G6)+SUM($B$9:G9))&lt;0,999.99,SUM($B$10:G10)/(SUM($B$6:G6)+SUM($B$9:G9))),"")</f>
        <v>0.1061731082144722</v>
      </c>
      <c r="H12" s="82">
        <f>IF(H13="Yes",IF(SUM($B$10:H10)/(SUM($B$6:H6)+SUM($B$9:H9))&lt;0,999.99,SUM($B$10:H10)/(SUM($B$6:H6)+SUM($B$9:H9))),"")</f>
        <v>0.1470269798780899</v>
      </c>
      <c r="I12" s="82">
        <f>IF(I13="Yes",IF(SUM($B$10:I10)/(SUM($B$6:I6)+SUM($B$9:I9))&lt;0,999.99,SUM($B$10:I10)/(SUM($B$6:I6)+SUM($B$9:I9))),"")</f>
        <v>0.1962101048390749</v>
      </c>
      <c r="J12" s="82">
        <f>IF(J13="Yes",IF(SUM($B$10:J10)/(SUM($B$6:J6)+SUM($B$9:J9))&lt;0,999.99,SUM($B$10:J10)/(SUM($B$6:J6)+SUM($B$9:J9))),"")</f>
        <v>0.2402550389029839</v>
      </c>
      <c r="K12" s="82">
        <f>IF(K13="Yes",IF(SUM($B$10:K10)/(SUM($B$6:K6)+SUM($B$9:K9))&lt;0,999.99,SUM($B$10:K10)/(SUM($B$6:K6)+SUM($B$9:K9))),"")</f>
        <v>0.2894825345873324</v>
      </c>
      <c r="L12" s="82">
        <f>IF(L13="Yes",IF(SUM($B$10:L10)/(SUM($B$6:L6)+SUM($B$9:L9))&lt;0,999.99,SUM($B$10:L10)/(SUM($B$6:L6)+SUM($B$9:L9))),"")</f>
        <v>0.338582769586853</v>
      </c>
      <c r="M12" s="82">
        <f>IF(M13="Yes",IF(SUM($B$10:M10)/(SUM($B$6:M6)+SUM($B$9:M9))&lt;0,999.99,SUM($B$10:M10)/(SUM($B$6:M6)+SUM($B$9:M9))),"")</f>
        <v>0.3889301586752302</v>
      </c>
      <c r="N12" s="82">
        <f>IF(N13="Yes",IF(SUM($B$10:N10)/(SUM($B$6:N6)+SUM($B$9:N9))&lt;0,999.99,SUM($B$10:N10)/(SUM($B$6:N6)+SUM($B$9:N9))),"")</f>
        <v>0.406568293364904</v>
      </c>
      <c r="O12" s="82">
        <f>IF(O13="Yes",IF(SUM($B$10:O10)/(SUM($B$6:O6)+SUM($B$9:O9))&lt;0,999.99,SUM($B$10:O10)/(SUM($B$6:O6)+SUM($B$9:O9))),"")</f>
        <v>0.4525938582748718</v>
      </c>
      <c r="P12" s="82">
        <f>IF(P13="Yes",IF(SUM($B$10:P10)/(SUM($B$6:P6)+SUM($B$9:P9))&lt;0,999.99,SUM($B$10:P10)/(SUM($B$6:P6)+SUM($B$9:P9))),"")</f>
        <v>0.4982616073888607</v>
      </c>
      <c r="Q12" s="82">
        <f>IF(Q13="Yes",IF(SUM($B$10:Q10)/(SUM($B$6:Q6)+SUM($B$9:Q9))&lt;0,999.99,SUM($B$10:Q10)/(SUM($B$6:Q6)+SUM($B$9:Q9))),"")</f>
        <v>0.5456485699221745</v>
      </c>
      <c r="R12" s="82">
        <f>IF(R13="Yes",IF(SUM($B$10:R10)/(SUM($B$6:R6)+SUM($B$9:R9))&lt;0,999.99,SUM($B$10:R10)/(SUM($B$6:R6)+SUM($B$9:R9))),"")</f>
        <v>0.5932937382915355</v>
      </c>
      <c r="S12" s="82">
        <f>IF(S13="Yes",IF(SUM($B$10:S10)/(SUM($B$6:S6)+SUM($B$9:S9))&lt;0,999.99,SUM($B$10:S10)/(SUM($B$6:S6)+SUM($B$9:S9))),"")</f>
        <v>0.6434016159528531</v>
      </c>
      <c r="T12" s="82">
        <f>IF(T13="Yes",IF(SUM($B$10:T10)/(SUM($B$6:T6)+SUM($B$9:T9))&lt;0,999.99,SUM($B$10:T10)/(SUM($B$6:T6)+SUM($B$9:T9))),"")</f>
        <v>0.6430425632585056</v>
      </c>
      <c r="U12" s="82">
        <f>IF(U13="Yes",IF(SUM($B$10:U10)/(SUM($B$6:U6)+SUM($B$9:U9))&lt;0,999.99,SUM($B$10:U10)/(SUM($B$6:U6)+SUM($B$9:U9))),"")</f>
        <v>0.6864449540606464</v>
      </c>
      <c r="V12" s="82">
        <f>IF(V13="Yes",IF(SUM($B$10:V10)/(SUM($B$6:V6)+SUM($B$9:V9))&lt;0,999.99,SUM($B$10:V10)/(SUM($B$6:V6)+SUM($B$9:V9))),"")</f>
        <v>0.7162899739044225</v>
      </c>
      <c r="W12" s="82">
        <f>IF(W13="Yes",IF(SUM($B$10:W10)/(SUM($B$6:W6)+SUM($B$9:W9))&lt;0,999.99,SUM($B$10:W10)/(SUM($B$6:W6)+SUM($B$9:W9))),"")</f>
        <v>0.761137151543959</v>
      </c>
      <c r="X12" s="82">
        <f>IF(X13="Yes",IF(SUM($B$10:X10)/(SUM($B$6:X6)+SUM($B$9:X9))&lt;0,999.99,SUM($B$10:X10)/(SUM($B$6:X6)+SUM($B$9:X9))),"")</f>
        <v>0.8052007542657865</v>
      </c>
      <c r="Y12" s="82">
        <f>IF(Y13="Yes",IF(SUM($B$10:Y10)/(SUM($B$6:Y6)+SUM($B$9:Y9))&lt;0,999.99,SUM($B$10:Y10)/(SUM($B$6:Y6)+SUM($B$9:Y9))),"")</f>
        <v>0.8513742151877607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 t="str">
        <f>R18</f>
        <v>0</v>
      </c>
      <c r="G18" s="36" t="str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Cassava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37656.40903942825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37656.40903942825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75312.81807885651</v>
      </c>
      <c r="AA19" s="36">
        <f>SUM(B19:M19)</f>
        <v>37656.40903942825</v>
      </c>
      <c r="AB19" s="36">
        <f>SUM(B19:Y19)</f>
        <v>75312.81807885651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Tomatoes</v>
      </c>
      <c r="B21" s="36">
        <f>N21</f>
        <v>137656.0336689638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137656.0336689638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137656.0336689638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137656.0336689638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550624.1346758553</v>
      </c>
      <c r="AA21" s="36">
        <f>SUM(B21:M21)</f>
        <v>275312.0673379276</v>
      </c>
      <c r="AB21" s="36">
        <f>SUM(B21:Y21)</f>
        <v>550624.1346758553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58000</v>
      </c>
      <c r="C29" s="37">
        <f>Inputs!$B$30</f>
        <v>58000</v>
      </c>
      <c r="D29" s="37">
        <f>Inputs!$B$30</f>
        <v>58000</v>
      </c>
      <c r="E29" s="37">
        <f>Inputs!$B$30</f>
        <v>58000</v>
      </c>
      <c r="F29" s="37">
        <f>Inputs!$B$30</f>
        <v>58000</v>
      </c>
      <c r="G29" s="37">
        <f>Inputs!$B$30</f>
        <v>58000</v>
      </c>
      <c r="H29" s="37">
        <f>Inputs!$B$30</f>
        <v>58000</v>
      </c>
      <c r="I29" s="37">
        <f>Inputs!$B$30</f>
        <v>58000</v>
      </c>
      <c r="J29" s="37">
        <f>Inputs!$B$30</f>
        <v>58000</v>
      </c>
      <c r="K29" s="37">
        <f>Inputs!$B$30</f>
        <v>58000</v>
      </c>
      <c r="L29" s="37">
        <f>Inputs!$B$30</f>
        <v>58000</v>
      </c>
      <c r="M29" s="37">
        <f>Inputs!$B$30</f>
        <v>58000</v>
      </c>
      <c r="N29" s="37">
        <f>Inputs!$B$30</f>
        <v>58000</v>
      </c>
      <c r="O29" s="37">
        <f>Inputs!$B$30</f>
        <v>58000</v>
      </c>
      <c r="P29" s="37">
        <f>Inputs!$B$30</f>
        <v>58000</v>
      </c>
      <c r="Q29" s="37">
        <f>Inputs!$B$30</f>
        <v>58000</v>
      </c>
      <c r="R29" s="37">
        <f>Inputs!$B$30</f>
        <v>58000</v>
      </c>
      <c r="S29" s="37">
        <f>Inputs!$B$30</f>
        <v>58000</v>
      </c>
      <c r="T29" s="37">
        <f>Inputs!$B$30</f>
        <v>58000</v>
      </c>
      <c r="U29" s="37">
        <f>Inputs!$B$30</f>
        <v>58000</v>
      </c>
      <c r="V29" s="37">
        <f>Inputs!$B$30</f>
        <v>58000</v>
      </c>
      <c r="W29" s="37">
        <f>Inputs!$B$30</f>
        <v>58000</v>
      </c>
      <c r="X29" s="37">
        <f>Inputs!$B$30</f>
        <v>58000</v>
      </c>
      <c r="Y29" s="37">
        <f>Inputs!$B$30</f>
        <v>58000</v>
      </c>
      <c r="Z29" s="37">
        <f>SUMIF($B$13:$Y$13,"Yes",B29:Y29)</f>
        <v>1392000</v>
      </c>
      <c r="AA29" s="37">
        <f>SUM(B29:M29)</f>
        <v>696000</v>
      </c>
      <c r="AB29" s="37">
        <f>SUM(B29:Y29)</f>
        <v>1392000</v>
      </c>
    </row>
    <row r="30" spans="1:30" customHeight="1" ht="15.75">
      <c r="A30" s="1" t="s">
        <v>37</v>
      </c>
      <c r="B30" s="19">
        <f>SUM(B18:B29)</f>
        <v>195656.0336689638</v>
      </c>
      <c r="C30" s="19">
        <f>SUM(C18:C29)</f>
        <v>58000</v>
      </c>
      <c r="D30" s="19">
        <f>SUM(D18:D29)</f>
        <v>58000</v>
      </c>
      <c r="E30" s="19">
        <f>SUM(E18:E29)</f>
        <v>58000</v>
      </c>
      <c r="F30" s="19">
        <f>SUM(F18:F29)</f>
        <v>58000</v>
      </c>
      <c r="G30" s="19">
        <f>SUM(G18:G29)</f>
        <v>58000</v>
      </c>
      <c r="H30" s="19">
        <f>SUM(H18:H29)</f>
        <v>195656.0336689638</v>
      </c>
      <c r="I30" s="19">
        <f>SUM(I18:I29)</f>
        <v>58000</v>
      </c>
      <c r="J30" s="19">
        <f>SUM(J18:J29)</f>
        <v>95656.40903942825</v>
      </c>
      <c r="K30" s="19">
        <f>SUM(K18:K29)</f>
        <v>58000</v>
      </c>
      <c r="L30" s="19">
        <f>SUM(L18:L29)</f>
        <v>58000</v>
      </c>
      <c r="M30" s="19">
        <f>SUM(M18:M29)</f>
        <v>58000</v>
      </c>
      <c r="N30" s="19">
        <f>SUM(N18:N29)</f>
        <v>195656.0336689638</v>
      </c>
      <c r="O30" s="19">
        <f>SUM(O18:O29)</f>
        <v>58000</v>
      </c>
      <c r="P30" s="19">
        <f>SUM(P18:P29)</f>
        <v>58000</v>
      </c>
      <c r="Q30" s="19">
        <f>SUM(Q18:Q29)</f>
        <v>58000</v>
      </c>
      <c r="R30" s="19">
        <f>SUM(R18:R29)</f>
        <v>58000</v>
      </c>
      <c r="S30" s="19">
        <f>SUM(S18:S29)</f>
        <v>58000</v>
      </c>
      <c r="T30" s="19">
        <f>SUM(T18:T29)</f>
        <v>195656.0336689638</v>
      </c>
      <c r="U30" s="19">
        <f>SUM(U18:U29)</f>
        <v>58000</v>
      </c>
      <c r="V30" s="19">
        <f>SUM(V18:V29)</f>
        <v>95656.40903942825</v>
      </c>
      <c r="W30" s="19">
        <f>SUM(W18:W29)</f>
        <v>58000</v>
      </c>
      <c r="X30" s="19">
        <f>SUM(X18:X29)</f>
        <v>58000</v>
      </c>
      <c r="Y30" s="19">
        <f>SUM(Y18:Y29)</f>
        <v>58000</v>
      </c>
      <c r="Z30" s="19">
        <f>SUMIF($B$13:$Y$13,"Yes",B30:Y30)</f>
        <v>2017936.952754711</v>
      </c>
      <c r="AA30" s="19">
        <f>SUM(B30:M30)</f>
        <v>1008968.476377356</v>
      </c>
      <c r="AB30" s="19">
        <f>SUM(B30:Y30)</f>
        <v>2017936.952754711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2000</v>
      </c>
      <c r="F36" s="36">
        <f>R36</f>
        <v>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2000</v>
      </c>
      <c r="R36" s="36">
        <f>SUM(R37:R41)</f>
        <v>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Cassava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4000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4000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Tomatoes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2000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2000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2000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2000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8000</v>
      </c>
      <c r="AA40" s="36">
        <f>SUM(B40:M40)</f>
        <v>4000</v>
      </c>
      <c r="AB40" s="36">
        <f>SUM(B40:Y40)</f>
        <v>8000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750</v>
      </c>
      <c r="F42" s="36">
        <f>R42</f>
        <v>1212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750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750</v>
      </c>
      <c r="R42" s="36">
        <f>SUM(R43:R47)</f>
        <v>1212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750</v>
      </c>
      <c r="X42" s="36">
        <f>SUM(X43:X47)</f>
        <v>0</v>
      </c>
      <c r="Y42" s="36">
        <f>SUM(Y43:Y47)</f>
        <v>0</v>
      </c>
      <c r="Z42" s="36">
        <f>SUMIF($B$13:$Y$13,"Yes",B42:Y42)</f>
        <v>5424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1212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1212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2424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Cassava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Tomatoes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750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750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750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750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3000</v>
      </c>
      <c r="AA46" s="36">
        <f>SUM(B46:M46)</f>
        <v>1500</v>
      </c>
      <c r="AB46" s="36">
        <f>SUM(B46:Y46)</f>
        <v>3000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2000</v>
      </c>
      <c r="D48" s="36">
        <f>P48</f>
        <v>0</v>
      </c>
      <c r="E48" s="36">
        <f>Q48</f>
        <v>0</v>
      </c>
      <c r="F48" s="36">
        <f>R48</f>
        <v>1200</v>
      </c>
      <c r="G48" s="36">
        <f>S48</f>
        <v>4500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4500</v>
      </c>
      <c r="N48" s="46">
        <f>SUM(N49:N53)</f>
        <v>0</v>
      </c>
      <c r="O48" s="46">
        <f>SUM(O49:O53)</f>
        <v>2000</v>
      </c>
      <c r="P48" s="46">
        <f>SUM(P49:P53)</f>
        <v>0</v>
      </c>
      <c r="Q48" s="46">
        <f>SUM(Q49:Q53)</f>
        <v>0</v>
      </c>
      <c r="R48" s="46">
        <f>SUM(R49:R53)</f>
        <v>1200</v>
      </c>
      <c r="S48" s="46">
        <f>SUM(S49:S53)</f>
        <v>4500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4500</v>
      </c>
      <c r="Z48" s="46">
        <f>SUMIF($B$13:$Y$13,"Yes",B48:Y48)</f>
        <v>24400</v>
      </c>
      <c r="AA48" s="46">
        <f>SUM(B48:M48)</f>
        <v>12200</v>
      </c>
      <c r="AB48" s="46">
        <f>SUM(B48:Y48)</f>
        <v>24400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Cassava</v>
      </c>
      <c r="B50" s="36">
        <f>N50</f>
        <v>0</v>
      </c>
      <c r="C50" s="36">
        <f>O50</f>
        <v>2000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2000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4000</v>
      </c>
      <c r="AA50" s="46">
        <f>SUM(B50:M50)</f>
        <v>2000</v>
      </c>
      <c r="AB50" s="46">
        <f>SUM(B50:Y50)</f>
        <v>4000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Tomatoes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4500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4500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4500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4500</v>
      </c>
      <c r="Z52" s="46">
        <f>SUMIF($B$13:$Y$13,"Yes",B52:Y52)</f>
        <v>18000</v>
      </c>
      <c r="AA52" s="46">
        <f>SUM(B52:M52)</f>
        <v>9000</v>
      </c>
      <c r="AB52" s="46">
        <f>SUM(B52:Y52)</f>
        <v>18000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Cassava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Tomatoes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21500</v>
      </c>
      <c r="C60" s="36">
        <f>O60</f>
        <v>20000</v>
      </c>
      <c r="D60" s="36">
        <f>P60</f>
        <v>20000</v>
      </c>
      <c r="E60" s="36">
        <f>Q60</f>
        <v>21500</v>
      </c>
      <c r="F60" s="36">
        <f>R60</f>
        <v>21500</v>
      </c>
      <c r="G60" s="36">
        <f>S60</f>
        <v>21500</v>
      </c>
      <c r="H60" s="36">
        <f>T60</f>
        <v>21500</v>
      </c>
      <c r="I60" s="36">
        <f>U60</f>
        <v>20000</v>
      </c>
      <c r="J60" s="36">
        <f>V60</f>
        <v>20000</v>
      </c>
      <c r="K60" s="36">
        <f>W60</f>
        <v>21500</v>
      </c>
      <c r="L60" s="36">
        <f>X60</f>
        <v>21500</v>
      </c>
      <c r="M60" s="36">
        <f>Y60</f>
        <v>21500</v>
      </c>
      <c r="N60" s="46">
        <f>SUM(N61:N65)</f>
        <v>21500</v>
      </c>
      <c r="O60" s="46">
        <f>SUM(O61:O65)</f>
        <v>20000</v>
      </c>
      <c r="P60" s="46">
        <f>SUM(P61:P65)</f>
        <v>20000</v>
      </c>
      <c r="Q60" s="46">
        <f>SUM(Q61:Q65)</f>
        <v>21500</v>
      </c>
      <c r="R60" s="46">
        <f>SUM(R61:R65)</f>
        <v>21500</v>
      </c>
      <c r="S60" s="46">
        <f>SUM(S61:S65)</f>
        <v>21500</v>
      </c>
      <c r="T60" s="46">
        <f>SUM(T61:T65)</f>
        <v>21500</v>
      </c>
      <c r="U60" s="46">
        <f>SUM(U61:U65)</f>
        <v>20000</v>
      </c>
      <c r="V60" s="46">
        <f>SUM(V61:V65)</f>
        <v>20000</v>
      </c>
      <c r="W60" s="46">
        <f>SUM(W61:W65)</f>
        <v>21500</v>
      </c>
      <c r="X60" s="46">
        <f>SUM(X61:X65)</f>
        <v>21500</v>
      </c>
      <c r="Y60" s="46">
        <f>SUM(Y61:Y65)</f>
        <v>21500</v>
      </c>
      <c r="Z60" s="46">
        <f>SUMIF($B$13:$Y$13,"Yes",B60:Y60)</f>
        <v>504000</v>
      </c>
      <c r="AA60" s="46">
        <f>SUM(B60:M60)</f>
        <v>252000</v>
      </c>
      <c r="AB60" s="46">
        <f>SUM(B60:Y60)</f>
        <v>504000</v>
      </c>
    </row>
    <row r="61" spans="1:30" hidden="true" outlineLevel="1">
      <c r="A61" s="181" t="str">
        <f>Calculations!$A$4</f>
        <v>Maize</v>
      </c>
      <c r="B61" s="36">
        <f>N61</f>
        <v>20000</v>
      </c>
      <c r="C61" s="36">
        <f>O61</f>
        <v>20000</v>
      </c>
      <c r="D61" s="36">
        <f>P61</f>
        <v>20000</v>
      </c>
      <c r="E61" s="36">
        <f>Q61</f>
        <v>20000</v>
      </c>
      <c r="F61" s="36">
        <f>R61</f>
        <v>20000</v>
      </c>
      <c r="G61" s="36">
        <f>S61</f>
        <v>20000</v>
      </c>
      <c r="H61" s="36">
        <f>T61</f>
        <v>20000</v>
      </c>
      <c r="I61" s="36">
        <f>U61</f>
        <v>20000</v>
      </c>
      <c r="J61" s="36">
        <f>V61</f>
        <v>20000</v>
      </c>
      <c r="K61" s="36">
        <f>W61</f>
        <v>20000</v>
      </c>
      <c r="L61" s="36">
        <f>X61</f>
        <v>20000</v>
      </c>
      <c r="M61" s="36">
        <f>Y61</f>
        <v>20000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20000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20000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20000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20000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20000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20000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20000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20000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20000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20000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20000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20000</v>
      </c>
      <c r="Z61" s="46">
        <f>SUMIF($B$13:$Y$13,"Yes",B61:Y61)</f>
        <v>480000</v>
      </c>
      <c r="AA61" s="46">
        <f>SUM(B61:M61)</f>
        <v>240000</v>
      </c>
      <c r="AB61" s="46">
        <f>SUM(B61:Y61)</f>
        <v>480000</v>
      </c>
    </row>
    <row r="62" spans="1:30" hidden="true" outlineLevel="1">
      <c r="A62" s="181" t="str">
        <f>Calculations!$A$5</f>
        <v>Cassava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Tomatoes</v>
      </c>
      <c r="B64" s="36">
        <f>N64</f>
        <v>1500</v>
      </c>
      <c r="C64" s="36">
        <f>O64</f>
        <v>0</v>
      </c>
      <c r="D64" s="36">
        <f>P64</f>
        <v>0</v>
      </c>
      <c r="E64" s="36">
        <f>Q64</f>
        <v>1500</v>
      </c>
      <c r="F64" s="36">
        <f>R64</f>
        <v>1500</v>
      </c>
      <c r="G64" s="36">
        <f>S64</f>
        <v>1500</v>
      </c>
      <c r="H64" s="36">
        <f>T64</f>
        <v>1500</v>
      </c>
      <c r="I64" s="36">
        <f>U64</f>
        <v>0</v>
      </c>
      <c r="J64" s="36">
        <f>V64</f>
        <v>0</v>
      </c>
      <c r="K64" s="36">
        <f>W64</f>
        <v>1500</v>
      </c>
      <c r="L64" s="36">
        <f>X64</f>
        <v>1500</v>
      </c>
      <c r="M64" s="36">
        <f>Y64</f>
        <v>1500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1500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1500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1500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1500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1500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1500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1500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1500</v>
      </c>
      <c r="Z64" s="46">
        <f>SUMIF($B$13:$Y$13,"Yes",B64:Y64)</f>
        <v>24000</v>
      </c>
      <c r="AA64" s="46">
        <f>SUM(B64:M64)</f>
        <v>12000</v>
      </c>
      <c r="AB64" s="46">
        <f>SUM(B64:Y64)</f>
        <v>24000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9140</v>
      </c>
      <c r="C66" s="36">
        <f>O66</f>
        <v>7740</v>
      </c>
      <c r="D66" s="36">
        <f>P66</f>
        <v>7740</v>
      </c>
      <c r="E66" s="36">
        <f>Q66</f>
        <v>9140</v>
      </c>
      <c r="F66" s="36">
        <f>R66</f>
        <v>9140</v>
      </c>
      <c r="G66" s="36">
        <f>S66</f>
        <v>9140</v>
      </c>
      <c r="H66" s="36">
        <f>T66</f>
        <v>9140</v>
      </c>
      <c r="I66" s="36">
        <f>U66</f>
        <v>7740</v>
      </c>
      <c r="J66" s="36">
        <f>V66</f>
        <v>7740</v>
      </c>
      <c r="K66" s="36">
        <f>W66</f>
        <v>9140</v>
      </c>
      <c r="L66" s="36">
        <f>X66</f>
        <v>9140</v>
      </c>
      <c r="M66" s="36">
        <f>Y66</f>
        <v>9140</v>
      </c>
      <c r="N66" s="46">
        <f>SUM(N67:N71)</f>
        <v>9140</v>
      </c>
      <c r="O66" s="46">
        <f>SUM(O67:O71)</f>
        <v>7740</v>
      </c>
      <c r="P66" s="46">
        <f>SUM(P67:P71)</f>
        <v>7740</v>
      </c>
      <c r="Q66" s="46">
        <f>SUM(Q67:Q71)</f>
        <v>9140</v>
      </c>
      <c r="R66" s="46">
        <f>SUM(R67:R71)</f>
        <v>9140</v>
      </c>
      <c r="S66" s="46">
        <f>SUM(S67:S71)</f>
        <v>9140</v>
      </c>
      <c r="T66" s="46">
        <f>SUM(T67:T71)</f>
        <v>9140</v>
      </c>
      <c r="U66" s="46">
        <f>SUM(U67:U71)</f>
        <v>7740</v>
      </c>
      <c r="V66" s="46">
        <f>SUM(V67:V71)</f>
        <v>7740</v>
      </c>
      <c r="W66" s="46">
        <f>SUM(W67:W71)</f>
        <v>9140</v>
      </c>
      <c r="X66" s="46">
        <f>SUM(X67:X71)</f>
        <v>9140</v>
      </c>
      <c r="Y66" s="46">
        <f>SUM(Y67:Y71)</f>
        <v>9140</v>
      </c>
      <c r="Z66" s="46">
        <f>SUMIF($B$13:$Y$13,"Yes",B66:Y66)</f>
        <v>208160</v>
      </c>
      <c r="AA66" s="46">
        <f>SUM(B66:M66)</f>
        <v>104080</v>
      </c>
      <c r="AB66" s="46">
        <f>SUM(B66:Y66)</f>
        <v>208160</v>
      </c>
    </row>
    <row r="67" spans="1:30" hidden="true" outlineLevel="1">
      <c r="A67" s="181" t="str">
        <f>Calculations!$A$4</f>
        <v>Maize</v>
      </c>
      <c r="B67" s="36">
        <f>N67</f>
        <v>7680</v>
      </c>
      <c r="C67" s="36">
        <f>O67</f>
        <v>7680</v>
      </c>
      <c r="D67" s="36">
        <f>P67</f>
        <v>7680</v>
      </c>
      <c r="E67" s="36">
        <f>Q67</f>
        <v>7680</v>
      </c>
      <c r="F67" s="36">
        <f>R67</f>
        <v>7680</v>
      </c>
      <c r="G67" s="36">
        <f>S67</f>
        <v>7680</v>
      </c>
      <c r="H67" s="36">
        <f>T67</f>
        <v>7680</v>
      </c>
      <c r="I67" s="36">
        <f>U67</f>
        <v>7680</v>
      </c>
      <c r="J67" s="36">
        <f>V67</f>
        <v>7680</v>
      </c>
      <c r="K67" s="36">
        <f>W67</f>
        <v>7680</v>
      </c>
      <c r="L67" s="36">
        <f>X67</f>
        <v>7680</v>
      </c>
      <c r="M67" s="36">
        <f>Y67</f>
        <v>7680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7680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7680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7680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7680</v>
      </c>
      <c r="Z67" s="46">
        <f>SUMIF($B$13:$Y$13,"Yes",B67:Y67)</f>
        <v>184320</v>
      </c>
      <c r="AA67" s="46">
        <f>SUM(B67:M67)</f>
        <v>92160</v>
      </c>
      <c r="AB67" s="46">
        <f>SUM(B67:Y67)</f>
        <v>184320</v>
      </c>
    </row>
    <row r="68" spans="1:30" hidden="true" outlineLevel="1">
      <c r="A68" s="181" t="str">
        <f>Calculations!$A$5</f>
        <v>Cassava</v>
      </c>
      <c r="B68" s="36">
        <f>N68</f>
        <v>60</v>
      </c>
      <c r="C68" s="36">
        <f>O68</f>
        <v>60</v>
      </c>
      <c r="D68" s="36">
        <f>P68</f>
        <v>60</v>
      </c>
      <c r="E68" s="36">
        <f>Q68</f>
        <v>60</v>
      </c>
      <c r="F68" s="36">
        <f>R68</f>
        <v>60</v>
      </c>
      <c r="G68" s="36">
        <f>S68</f>
        <v>60</v>
      </c>
      <c r="H68" s="36">
        <f>T68</f>
        <v>60</v>
      </c>
      <c r="I68" s="36">
        <f>U68</f>
        <v>60</v>
      </c>
      <c r="J68" s="36">
        <f>V68</f>
        <v>60</v>
      </c>
      <c r="K68" s="36">
        <f>W68</f>
        <v>60</v>
      </c>
      <c r="L68" s="36">
        <f>X68</f>
        <v>60</v>
      </c>
      <c r="M68" s="36">
        <f>Y68</f>
        <v>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60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60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60</v>
      </c>
      <c r="Z68" s="46">
        <f>SUMIF($B$13:$Y$13,"Yes",B68:Y68)</f>
        <v>1440</v>
      </c>
      <c r="AA68" s="46">
        <f>SUM(B68:M68)</f>
        <v>720</v>
      </c>
      <c r="AB68" s="46">
        <f>SUM(B68:Y68)</f>
        <v>1440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Tomatoes</v>
      </c>
      <c r="B70" s="36">
        <f>N70</f>
        <v>1400</v>
      </c>
      <c r="C70" s="36">
        <f>O70</f>
        <v>0</v>
      </c>
      <c r="D70" s="36">
        <f>P70</f>
        <v>0</v>
      </c>
      <c r="E70" s="36">
        <f>Q70</f>
        <v>1400</v>
      </c>
      <c r="F70" s="36">
        <f>R70</f>
        <v>1400</v>
      </c>
      <c r="G70" s="36">
        <f>S70</f>
        <v>1400</v>
      </c>
      <c r="H70" s="36">
        <f>T70</f>
        <v>1400</v>
      </c>
      <c r="I70" s="36">
        <f>U70</f>
        <v>0</v>
      </c>
      <c r="J70" s="36">
        <f>V70</f>
        <v>0</v>
      </c>
      <c r="K70" s="36">
        <f>W70</f>
        <v>1400</v>
      </c>
      <c r="L70" s="36">
        <f>X70</f>
        <v>1400</v>
      </c>
      <c r="M70" s="36">
        <f>Y70</f>
        <v>1400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1400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1400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1400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1400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1400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1400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1400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1400</v>
      </c>
      <c r="Z70" s="46">
        <f>SUMIF($B$13:$Y$13,"Yes",B70:Y70)</f>
        <v>22400</v>
      </c>
      <c r="AA70" s="46">
        <f>SUM(B70:M70)</f>
        <v>11200</v>
      </c>
      <c r="AB70" s="46">
        <f>SUM(B70:Y70)</f>
        <v>22400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</v>
      </c>
      <c r="C79" s="46">
        <f>Inputs!$B$31</f>
        <v>18000</v>
      </c>
      <c r="D79" s="46">
        <f>Inputs!$B$31</f>
        <v>18000</v>
      </c>
      <c r="E79" s="46">
        <f>Inputs!$B$31</f>
        <v>18000</v>
      </c>
      <c r="F79" s="46">
        <f>Inputs!$B$31</f>
        <v>18000</v>
      </c>
      <c r="G79" s="46">
        <f>Inputs!$B$31</f>
        <v>18000</v>
      </c>
      <c r="H79" s="46">
        <f>Inputs!$B$31</f>
        <v>18000</v>
      </c>
      <c r="I79" s="46">
        <f>Inputs!$B$31</f>
        <v>18000</v>
      </c>
      <c r="J79" s="46">
        <f>Inputs!$B$31</f>
        <v>18000</v>
      </c>
      <c r="K79" s="46">
        <f>Inputs!$B$31</f>
        <v>18000</v>
      </c>
      <c r="L79" s="46">
        <f>Inputs!$B$31</f>
        <v>18000</v>
      </c>
      <c r="M79" s="46">
        <f>Inputs!$B$31</f>
        <v>18000</v>
      </c>
      <c r="N79" s="46">
        <f>Inputs!$B$31</f>
        <v>18000</v>
      </c>
      <c r="O79" s="46">
        <f>Inputs!$B$31</f>
        <v>18000</v>
      </c>
      <c r="P79" s="46">
        <f>Inputs!$B$31</f>
        <v>18000</v>
      </c>
      <c r="Q79" s="46">
        <f>Inputs!$B$31</f>
        <v>18000</v>
      </c>
      <c r="R79" s="46">
        <f>Inputs!$B$31</f>
        <v>18000</v>
      </c>
      <c r="S79" s="46">
        <f>Inputs!$B$31</f>
        <v>18000</v>
      </c>
      <c r="T79" s="46">
        <f>Inputs!$B$31</f>
        <v>18000</v>
      </c>
      <c r="U79" s="46">
        <f>Inputs!$B$31</f>
        <v>18000</v>
      </c>
      <c r="V79" s="46">
        <f>Inputs!$B$31</f>
        <v>18000</v>
      </c>
      <c r="W79" s="46">
        <f>Inputs!$B$31</f>
        <v>18000</v>
      </c>
      <c r="X79" s="46">
        <f>Inputs!$B$31</f>
        <v>18000</v>
      </c>
      <c r="Y79" s="46">
        <f>Inputs!$B$31</f>
        <v>18000</v>
      </c>
      <c r="Z79" s="46">
        <f>SUMIF($B$13:$Y$13,"Yes",B79:Y79)</f>
        <v>432000</v>
      </c>
      <c r="AA79" s="46">
        <f>SUM(B79:M79)</f>
        <v>216000</v>
      </c>
      <c r="AB79" s="46">
        <f>SUM(B79:Y79)</f>
        <v>432000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13799.2158792452</v>
      </c>
      <c r="C81" s="46">
        <f>(SUM($AA$18:$AA$29)-SUM($AA$36,$AA$42,$AA$48,$AA$54,$AA$60,$AA$66,$AA$72:$AA$79))*Parameters!$B$37/12</f>
        <v>13799.2158792452</v>
      </c>
      <c r="D81" s="46">
        <f>(SUM($AA$18:$AA$29)-SUM($AA$36,$AA$42,$AA$48,$AA$54,$AA$60,$AA$66,$AA$72:$AA$79))*Parameters!$B$37/12</f>
        <v>13799.2158792452</v>
      </c>
      <c r="E81" s="46">
        <f>(SUM($AA$18:$AA$29)-SUM($AA$36,$AA$42,$AA$48,$AA$54,$AA$60,$AA$66,$AA$72:$AA$79))*Parameters!$B$37/12</f>
        <v>13799.2158792452</v>
      </c>
      <c r="F81" s="46">
        <f>(SUM($AA$18:$AA$29)-SUM($AA$36,$AA$42,$AA$48,$AA$54,$AA$60,$AA$66,$AA$72:$AA$79))*Parameters!$B$37/12</f>
        <v>13799.2158792452</v>
      </c>
      <c r="G81" s="46">
        <f>(SUM($AA$18:$AA$29)-SUM($AA$36,$AA$42,$AA$48,$AA$54,$AA$60,$AA$66,$AA$72:$AA$79))*Parameters!$B$37/12</f>
        <v>13799.2158792452</v>
      </c>
      <c r="H81" s="46">
        <f>(SUM($AA$18:$AA$29)-SUM($AA$36,$AA$42,$AA$48,$AA$54,$AA$60,$AA$66,$AA$72:$AA$79))*Parameters!$B$37/12</f>
        <v>13799.2158792452</v>
      </c>
      <c r="I81" s="46">
        <f>(SUM($AA$18:$AA$29)-SUM($AA$36,$AA$42,$AA$48,$AA$54,$AA$60,$AA$66,$AA$72:$AA$79))*Parameters!$B$37/12</f>
        <v>13799.2158792452</v>
      </c>
      <c r="J81" s="46">
        <f>(SUM($AA$18:$AA$29)-SUM($AA$36,$AA$42,$AA$48,$AA$54,$AA$60,$AA$66,$AA$72:$AA$79))*Parameters!$B$37/12</f>
        <v>13799.2158792452</v>
      </c>
      <c r="K81" s="46">
        <f>(SUM($AA$18:$AA$29)-SUM($AA$36,$AA$42,$AA$48,$AA$54,$AA$60,$AA$66,$AA$72:$AA$79))*Parameters!$B$37/12</f>
        <v>13799.2158792452</v>
      </c>
      <c r="L81" s="46">
        <f>(SUM($AA$18:$AA$29)-SUM($AA$36,$AA$42,$AA$48,$AA$54,$AA$60,$AA$66,$AA$72:$AA$79))*Parameters!$B$37/12</f>
        <v>13799.2158792452</v>
      </c>
      <c r="M81" s="46">
        <f>(SUM($AA$18:$AA$29)-SUM($AA$36,$AA$42,$AA$48,$AA$54,$AA$60,$AA$66,$AA$72:$AA$79))*Parameters!$B$37/12</f>
        <v>13799.2158792452</v>
      </c>
      <c r="N81" s="46">
        <f>(SUM($AA$18:$AA$29)-SUM($AA$36,$AA$42,$AA$48,$AA$54,$AA$60,$AA$66,$AA$72:$AA$79))*Parameters!$B$37/12</f>
        <v>13799.2158792452</v>
      </c>
      <c r="O81" s="46">
        <f>(SUM($AA$18:$AA$29)-SUM($AA$36,$AA$42,$AA$48,$AA$54,$AA$60,$AA$66,$AA$72:$AA$79))*Parameters!$B$37/12</f>
        <v>13799.2158792452</v>
      </c>
      <c r="P81" s="46">
        <f>(SUM($AA$18:$AA$29)-SUM($AA$36,$AA$42,$AA$48,$AA$54,$AA$60,$AA$66,$AA$72:$AA$79))*Parameters!$B$37/12</f>
        <v>13799.2158792452</v>
      </c>
      <c r="Q81" s="46">
        <f>(SUM($AA$18:$AA$29)-SUM($AA$36,$AA$42,$AA$48,$AA$54,$AA$60,$AA$66,$AA$72:$AA$79))*Parameters!$B$37/12</f>
        <v>13799.2158792452</v>
      </c>
      <c r="R81" s="46">
        <f>(SUM($AA$18:$AA$29)-SUM($AA$36,$AA$42,$AA$48,$AA$54,$AA$60,$AA$66,$AA$72:$AA$79))*Parameters!$B$37/12</f>
        <v>13799.2158792452</v>
      </c>
      <c r="S81" s="46">
        <f>(SUM($AA$18:$AA$29)-SUM($AA$36,$AA$42,$AA$48,$AA$54,$AA$60,$AA$66,$AA$72:$AA$79))*Parameters!$B$37/12</f>
        <v>13799.2158792452</v>
      </c>
      <c r="T81" s="46">
        <f>(SUM($AA$18:$AA$29)-SUM($AA$36,$AA$42,$AA$48,$AA$54,$AA$60,$AA$66,$AA$72:$AA$79))*Parameters!$B$37/12</f>
        <v>13799.2158792452</v>
      </c>
      <c r="U81" s="46">
        <f>(SUM($AA$18:$AA$29)-SUM($AA$36,$AA$42,$AA$48,$AA$54,$AA$60,$AA$66,$AA$72:$AA$79))*Parameters!$B$37/12</f>
        <v>13799.2158792452</v>
      </c>
      <c r="V81" s="46">
        <f>(SUM($AA$18:$AA$29)-SUM($AA$36,$AA$42,$AA$48,$AA$54,$AA$60,$AA$66,$AA$72:$AA$79))*Parameters!$B$37/12</f>
        <v>13799.2158792452</v>
      </c>
      <c r="W81" s="46">
        <f>(SUM($AA$18:$AA$29)-SUM($AA$36,$AA$42,$AA$48,$AA$54,$AA$60,$AA$66,$AA$72:$AA$79))*Parameters!$B$37/12</f>
        <v>13799.2158792452</v>
      </c>
      <c r="X81" s="46">
        <f>(SUM($AA$18:$AA$29)-SUM($AA$36,$AA$42,$AA$48,$AA$54,$AA$60,$AA$66,$AA$72:$AA$79))*Parameters!$B$37/12</f>
        <v>13799.2158792452</v>
      </c>
      <c r="Y81" s="46">
        <f>(SUM($AA$18:$AA$29)-SUM($AA$36,$AA$42,$AA$48,$AA$54,$AA$60,$AA$66,$AA$72:$AA$79))*Parameters!$B$37/12</f>
        <v>13799.2158792452</v>
      </c>
      <c r="Z81" s="46">
        <f>SUMIF($B$13:$Y$13,"Yes",B81:Y81)</f>
        <v>331181.1811018847</v>
      </c>
      <c r="AA81" s="46">
        <f>SUM(B81:M81)</f>
        <v>165590.5905509423</v>
      </c>
      <c r="AB81" s="46">
        <f>SUM(B81:Y81)</f>
        <v>331181.1811018847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62439.2158792452</v>
      </c>
      <c r="C88" s="19">
        <f>SUM(C72:C82,C66,C60,C54,C48,C42,C36)</f>
        <v>61539.2158792452</v>
      </c>
      <c r="D88" s="19">
        <f>SUM(D72:D82,D66,D60,D54,D48,D42,D36)</f>
        <v>59539.2158792452</v>
      </c>
      <c r="E88" s="19">
        <f>SUM(E72:E82,E66,E60,E54,E48,E42,E36)</f>
        <v>65189.2158792452</v>
      </c>
      <c r="F88" s="19">
        <f>SUM(F72:F82,F66,F60,F54,F48,F42,F36)</f>
        <v>64851.2158792452</v>
      </c>
      <c r="G88" s="19">
        <f>SUM(G72:G82,G66,G60,G54,G48,G42,G36)</f>
        <v>70939.2158792452</v>
      </c>
      <c r="H88" s="19">
        <f>SUM(H72:H82,H66,H60,H54,H48,H42,H36)</f>
        <v>62439.2158792452</v>
      </c>
      <c r="I88" s="19">
        <f>SUM(I72:I82,I66,I60,I54,I48,I42,I36)</f>
        <v>59539.2158792452</v>
      </c>
      <c r="J88" s="19">
        <f>SUM(J72:J82,J66,J60,J54,J48,J42,J36)</f>
        <v>59539.2158792452</v>
      </c>
      <c r="K88" s="19">
        <f>SUM(K72:K82,K66,K60,K54,K48,K42,K36)</f>
        <v>65189.2158792452</v>
      </c>
      <c r="L88" s="19">
        <f>SUM(L72:L82,L66,L60,L54,L48,L42,L36)</f>
        <v>62439.2158792452</v>
      </c>
      <c r="M88" s="19">
        <f>SUM(M72:M82,M66,M60,M54,M48,M42,M36)</f>
        <v>66939.2158792452</v>
      </c>
      <c r="N88" s="19">
        <f>SUM(N72:N82,N66,N60,N54,N48,N42,N36)</f>
        <v>62439.2158792452</v>
      </c>
      <c r="O88" s="19">
        <f>SUM(O72:O82,O66,O60,O54,O48,O42,O36)</f>
        <v>61539.2158792452</v>
      </c>
      <c r="P88" s="19">
        <f>SUM(P72:P82,P66,P60,P54,P48,P42,P36)</f>
        <v>59539.2158792452</v>
      </c>
      <c r="Q88" s="19">
        <f>SUM(Q72:Q82,Q66,Q60,Q54,Q48,Q42,Q36)</f>
        <v>65189.2158792452</v>
      </c>
      <c r="R88" s="19">
        <f>SUM(R72:R82,R66,R60,R54,R48,R42,R36)</f>
        <v>64851.2158792452</v>
      </c>
      <c r="S88" s="19">
        <f>SUM(S72:S82,S66,S60,S54,S48,S42,S36)</f>
        <v>70939.2158792452</v>
      </c>
      <c r="T88" s="19">
        <f>SUM(T72:T82,T66,T60,T54,T48,T42,T36)</f>
        <v>62439.2158792452</v>
      </c>
      <c r="U88" s="19">
        <f>SUM(U72:U82,U66,U60,U54,U48,U42,U36)</f>
        <v>59539.2158792452</v>
      </c>
      <c r="V88" s="19">
        <f>SUM(V72:V82,V66,V60,V54,V48,V42,V36)</f>
        <v>59539.2158792452</v>
      </c>
      <c r="W88" s="19">
        <f>SUM(W72:W82,W66,W60,W54,W48,W42,W36)</f>
        <v>65189.2158792452</v>
      </c>
      <c r="X88" s="19">
        <f>SUM(X72:X82,X66,X60,X54,X48,X42,X36)</f>
        <v>62439.2158792452</v>
      </c>
      <c r="Y88" s="19">
        <f>SUM(Y72:Y82,Y66,Y60,Y54,Y48,Y42,Y36)</f>
        <v>66939.2158792452</v>
      </c>
      <c r="Z88" s="19">
        <f>SUMIF($B$13:$Y$13,"Yes",B88:Y88)</f>
        <v>1521165.181101885</v>
      </c>
      <c r="AA88" s="19">
        <f>SUM(B88:M88)</f>
        <v>760582.5905509423</v>
      </c>
      <c r="AB88" s="19">
        <f>SUM(B88:Y88)</f>
        <v>1521165.181101885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12000</v>
      </c>
    </row>
    <row r="95" spans="1:30">
      <c r="A95" t="s">
        <v>61</v>
      </c>
      <c r="B95" s="36">
        <f>Inputs!B47</f>
        <v>30000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4000000</v>
      </c>
    </row>
    <row r="101" spans="1:30" customHeight="1" ht="15.75">
      <c r="A101" s="1" t="s">
        <v>67</v>
      </c>
      <c r="B101" s="19">
        <f>SUM(B94:B100)</f>
        <v>4362000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1500000</v>
      </c>
    </row>
    <row r="107" spans="1:30" customHeight="1" ht="15.75">
      <c r="A107" s="1" t="s">
        <v>72</v>
      </c>
      <c r="B107" s="19">
        <f>SUM(B104:B106)</f>
        <v>1500000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91</v>
      </c>
      <c r="J8" s="148" t="s">
        <v>98</v>
      </c>
      <c r="K8" s="138"/>
      <c r="L8" s="16"/>
      <c r="M8" s="165">
        <v>0</v>
      </c>
      <c r="N8" s="154">
        <v>0</v>
      </c>
    </row>
    <row r="9" spans="1:48">
      <c r="A9" s="143" t="s">
        <v>99</v>
      </c>
      <c r="B9" s="16"/>
      <c r="C9" s="143">
        <v>2</v>
      </c>
      <c r="D9" s="16"/>
      <c r="E9" s="147" t="s">
        <v>100</v>
      </c>
      <c r="F9" s="149" t="s">
        <v>91</v>
      </c>
      <c r="G9" s="147"/>
      <c r="H9" s="147" t="s">
        <v>92</v>
      </c>
      <c r="I9" s="147" t="s">
        <v>93</v>
      </c>
      <c r="J9" s="148" t="s">
        <v>101</v>
      </c>
      <c r="K9" s="138"/>
      <c r="L9" s="16"/>
      <c r="M9" s="165">
        <v>5</v>
      </c>
      <c r="N9" s="154">
        <v>0</v>
      </c>
    </row>
    <row r="10" spans="1:48">
      <c r="A10" s="143" t="s">
        <v>102</v>
      </c>
      <c r="B10" s="16"/>
      <c r="C10" s="143">
        <v>1</v>
      </c>
      <c r="D10" s="16"/>
      <c r="E10" s="147" t="s">
        <v>100</v>
      </c>
      <c r="F10" s="149" t="s">
        <v>97</v>
      </c>
      <c r="G10" s="147"/>
      <c r="H10" s="147" t="s">
        <v>92</v>
      </c>
      <c r="I10" s="147" t="s">
        <v>93</v>
      </c>
      <c r="J10" s="148" t="s">
        <v>101</v>
      </c>
      <c r="K10" s="138"/>
      <c r="L10" s="16"/>
      <c r="M10" s="165">
        <v>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60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58000</v>
      </c>
    </row>
    <row r="31" spans="1:48">
      <c r="A31" s="5" t="s">
        <v>122</v>
      </c>
      <c r="B31" s="158">
        <v>18000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120000</v>
      </c>
    </row>
    <row r="46" spans="1:48" customHeight="1" ht="30">
      <c r="A46" s="57" t="s">
        <v>136</v>
      </c>
      <c r="B46" s="161">
        <v>200000</v>
      </c>
    </row>
    <row r="47" spans="1:48" customHeight="1" ht="30">
      <c r="A47" s="57" t="s">
        <v>137</v>
      </c>
      <c r="B47" s="161">
        <v>30000</v>
      </c>
    </row>
    <row r="48" spans="1:48" customHeight="1" ht="30">
      <c r="A48" s="57" t="s">
        <v>138</v>
      </c>
      <c r="B48" s="161">
        <v>4000000</v>
      </c>
    </row>
    <row r="49" spans="1:48" customHeight="1" ht="30">
      <c r="A49" s="57" t="s">
        <v>139</v>
      </c>
      <c r="B49" s="161">
        <v>12000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149</v>
      </c>
      <c r="C65" s="10" t="s">
        <v>150</v>
      </c>
    </row>
    <row r="66" spans="1:48">
      <c r="A66" s="142" t="s">
        <v>151</v>
      </c>
      <c r="B66" s="159">
        <v>58000</v>
      </c>
      <c r="C66" s="163">
        <v>25000</v>
      </c>
      <c r="D66" s="49">
        <f>INDEX(Parameters!$D$79:$D$90,MATCH(Inputs!A66,Parameters!$C$79:$C$90,0))</f>
        <v>4</v>
      </c>
    </row>
    <row r="67" spans="1:48">
      <c r="A67" s="143" t="s">
        <v>152</v>
      </c>
      <c r="B67" s="157">
        <v>58000</v>
      </c>
      <c r="C67" s="165">
        <v>22000</v>
      </c>
      <c r="D67" s="49">
        <f>INDEX(Parameters!$D$79:$D$90,MATCH(Inputs!A67,Parameters!$C$79:$C$90,0))</f>
        <v>5</v>
      </c>
    </row>
    <row r="68" spans="1:48">
      <c r="A68" s="143" t="s">
        <v>153</v>
      </c>
      <c r="B68" s="157">
        <v>58000</v>
      </c>
      <c r="C68" s="165">
        <v>27000</v>
      </c>
      <c r="D68" s="49">
        <f>INDEX(Parameters!$D$79:$D$90,MATCH(Inputs!A68,Parameters!$C$79:$C$90,0))</f>
        <v>6</v>
      </c>
    </row>
    <row r="69" spans="1:48">
      <c r="A69" s="143" t="s">
        <v>154</v>
      </c>
      <c r="B69" s="157">
        <v>40000</v>
      </c>
      <c r="C69" s="165">
        <v>20000</v>
      </c>
      <c r="D69" s="49">
        <f>INDEX(Parameters!$D$79:$D$90,MATCH(Inputs!A69,Parameters!$C$79:$C$90,0))</f>
        <v>7</v>
      </c>
    </row>
    <row r="70" spans="1:48">
      <c r="A70" s="143" t="s">
        <v>94</v>
      </c>
      <c r="B70" s="157">
        <v>250000</v>
      </c>
      <c r="C70" s="165">
        <v>65000</v>
      </c>
      <c r="D70" s="49">
        <f>INDEX(Parameters!$D$79:$D$90,MATCH(Inputs!A70,Parameters!$C$79:$C$90,0))</f>
        <v>8</v>
      </c>
    </row>
    <row r="71" spans="1:48">
      <c r="A71" s="144" t="s">
        <v>98</v>
      </c>
      <c r="B71" s="158">
        <v>480000</v>
      </c>
      <c r="C71" s="167">
        <v>98000</v>
      </c>
      <c r="D71" s="49">
        <f>INDEX(Parameters!$D$79:$D$90,MATCH(Inputs!A71,Parameters!$C$79:$C$90,0))</f>
        <v>9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22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42948</v>
      </c>
      <c r="D4" s="38">
        <f>IFERROR(DATE(YEAR(B4),MONTH(B4)+T4,DAY(B4)),"")</f>
        <v>42948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20000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Cassava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43221</v>
      </c>
      <c r="D5" s="39">
        <f>IFERROR(DATE(YEAR(B5),MONTH(B5)+T5,DAY(B5)),"")</f>
        <v>43435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43221</v>
      </c>
      <c r="G5" s="39">
        <f>IFERROR(IF($S5=0,"",IF($S5=2,DATE(YEAR(D5),MONTH(D5)+6,DAY(D5)),IF($S5=1,D5,""))),"")</f>
        <v>43435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4034.615254224455</v>
      </c>
      <c r="M5" s="30">
        <f>L5*H5</f>
        <v>4034.615254224455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9.333333333333334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37656.40903942825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15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1200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12000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Tomatoes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43160</v>
      </c>
      <c r="D7" s="39">
        <f>IFERROR(DATE(YEAR(B7),MONTH(B7)+T7,DAY(B7)),"")</f>
        <v>43191</v>
      </c>
      <c r="E7" s="39">
        <f>IFERROR(IF($S7=0,"",IF($S7=2,DATE(YEAR(B7),MONTH(B7)+6,DAY(B7)),IF($S7=1,B7,""))),"")</f>
        <v>43282</v>
      </c>
      <c r="F7" s="39">
        <f>IFERROR(IF($S7=0,"",IF($S7=2,DATE(YEAR(C7),MONTH(C7)+6,DAY(C7)),IF($S7=1,C7,""))),"")</f>
        <v>43344</v>
      </c>
      <c r="G7" s="39">
        <f>IFERROR(IF($S7=0,"",IF($S7=2,DATE(YEAR(D7),MONTH(D7)+6,DAY(D7)),IF($S7=1,D7,""))),"")</f>
        <v>43374</v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120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3933.029533398966</v>
      </c>
      <c r="M7" s="30">
        <f>L7*H7</f>
        <v>3933.029533398966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35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275312.0673379276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3</v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750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4500</v>
      </c>
      <c r="Z7" s="34">
        <f>IF(Inputs!I10=Parameters!$F$78,H7*INDEX(Parameters!$A$3:$AI$18,MATCH(Calculations!A7,Parameters!$A$3:$A$18,0),MATCH(Parameters!$Q$3,Parameters!$A$3:$AI$3,0)),0)</f>
        <v>6000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14000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42972</v>
      </c>
      <c r="C33" s="27">
        <f>IF(B33&lt;&gt;"",IF(COUNT($A$33:A33)&lt;=$G$39,0,$G$41)+IF(COUNT($A$33:A33)&lt;=$G$40,0,$G$42),0)</f>
        <v>85000</v>
      </c>
      <c r="D33" s="170">
        <f>IFERROR(DATE(YEAR(B33),MONTH(B33),1)," ")</f>
        <v>42948</v>
      </c>
      <c r="F33" t="s">
        <v>160</v>
      </c>
      <c r="G33" s="128">
        <f>IF(Inputs!B79="","",DATE(YEAR(Inputs!B79),MONTH(Inputs!B79),DAY(Inputs!B79)))</f>
        <v>42850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43003</v>
      </c>
      <c r="C34" s="27">
        <f>IF(B34&lt;&gt;"",IF(COUNT($A$33:A34)&lt;=$G$39,0,$G$41)+IF(COUNT($A$33:A34)&lt;=$G$40,0,$G$42),0)</f>
        <v>85000</v>
      </c>
      <c r="D34" s="170">
        <f>IFERROR(DATE(YEAR(B34),MONTH(B34),1)," ")</f>
        <v>42979</v>
      </c>
      <c r="F34" t="s">
        <v>161</v>
      </c>
      <c r="G34" s="128">
        <f>IF(Inputs!B80="","",DATE(YEAR(Inputs!B80),MONTH(Inputs!B80),DAY(Inputs!B80)))</f>
        <v>42972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43033</v>
      </c>
      <c r="C35" s="27">
        <f>IF(B35&lt;&gt;"",IF(COUNT($A$33:A35)&lt;=$G$39,0,$G$41)+IF(COUNT($A$33:A35)&lt;=$G$40,0,$G$42),0)</f>
        <v>85000</v>
      </c>
      <c r="D35" s="170">
        <f>IFERROR(DATE(YEAR(B35),MONTH(B35),1)," ")</f>
        <v>43009</v>
      </c>
      <c r="F35" t="s">
        <v>163</v>
      </c>
      <c r="G35" s="27">
        <f>Inputs!B81</f>
        <v>1500000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43064</v>
      </c>
      <c r="C36" s="27">
        <f>IF(B36&lt;&gt;"",IF(COUNT($A$33:A36)&lt;=$G$39,0,$G$41)+IF(COUNT($A$33:A36)&lt;=$G$40,0,$G$42),0)</f>
        <v>85000</v>
      </c>
      <c r="D36" s="170">
        <f>IFERROR(DATE(YEAR(B36),MONTH(B36),1)," ")</f>
        <v>43040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43094</v>
      </c>
      <c r="C37" s="27">
        <f>IF(B37&lt;&gt;"",IF(COUNT($A$33:A37)&lt;=$G$39,0,$G$41)+IF(COUNT($A$33:A37)&lt;=$G$40,0,$G$42),0)</f>
        <v>85000</v>
      </c>
      <c r="D37" s="170">
        <f>IFERROR(DATE(YEAR(B37),MONTH(B37),1)," ")</f>
        <v>43070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43125</v>
      </c>
      <c r="C38" s="27">
        <f>IF(B38&lt;&gt;"",IF(COUNT($A$33:A38)&lt;=$G$39,0,$G$41)+IF(COUNT($A$33:A38)&lt;=$G$40,0,$G$42),0)</f>
        <v>85000</v>
      </c>
      <c r="D38" s="170">
        <f>IFERROR(DATE(YEAR(B38),MONTH(B38),1)," ")</f>
        <v>43101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43156</v>
      </c>
      <c r="C39" s="27">
        <f>IF(B39&lt;&gt;"",IF(COUNT($A$33:A39)&lt;=$G$39,0,$G$41)+IF(COUNT($A$33:A39)&lt;=$G$40,0,$G$42),0)</f>
        <v>85000</v>
      </c>
      <c r="D39" s="170">
        <f>IFERROR(DATE(YEAR(B39),MONTH(B39),1)," ")</f>
        <v>43132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43184</v>
      </c>
      <c r="C40" s="27">
        <f>IF(B40&lt;&gt;"",IF(COUNT($A$33:A40)&lt;=$G$39,0,$G$41)+IF(COUNT($A$33:A40)&lt;=$G$40,0,$G$42),0)</f>
        <v>85000</v>
      </c>
      <c r="D40" s="170">
        <f>IFERROR(DATE(YEAR(B40),MONTH(B40),1)," ")</f>
        <v>43160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43215</v>
      </c>
      <c r="C41" s="27">
        <f>IF(B41&lt;&gt;"",IF(COUNT($A$33:A41)&lt;=$G$39,0,$G$41)+IF(COUNT($A$33:A41)&lt;=$G$40,0,$G$42),0)</f>
        <v>85000</v>
      </c>
      <c r="D41" s="170">
        <f>IFERROR(DATE(YEAR(B41),MONTH(B41),1)," ")</f>
        <v>43191</v>
      </c>
      <c r="F41" t="s">
        <v>227</v>
      </c>
      <c r="G41" s="73">
        <f>IFERROR(G35/(G38-G39),"")</f>
        <v>62500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43245</v>
      </c>
      <c r="C42" s="27">
        <f>IF(B42&lt;&gt;"",IF(COUNT($A$33:A42)&lt;=$G$39,0,$G$41)+IF(COUNT($A$33:A42)&lt;=$G$40,0,$G$42),0)</f>
        <v>85000</v>
      </c>
      <c r="D42" s="170">
        <f>IFERROR(DATE(YEAR(B42),MONTH(B42),1)," ")</f>
        <v>43221</v>
      </c>
      <c r="F42" t="s">
        <v>228</v>
      </c>
      <c r="G42" s="73">
        <f>IFERROR(G35*G36*IF(G37="Monthly",G38/12,IF(G37="Fortnightly",G38/(365/14),G38/(365/28)))/(G38-G40),"")</f>
        <v>22500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43276</v>
      </c>
      <c r="C43" s="27">
        <f>IF(B43&lt;&gt;"",IF(COUNT($A$33:A43)&lt;=$G$39,0,$G$41)+IF(COUNT($A$33:A43)&lt;=$G$40,0,$G$42),0)</f>
        <v>85000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43306</v>
      </c>
      <c r="C44" s="27">
        <f>IF(B44&lt;&gt;"",IF(COUNT($A$33:A44)&lt;=$G$39,0,$G$41)+IF(COUNT($A$33:A44)&lt;=$G$40,0,$G$42),0)</f>
        <v>85000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43337</v>
      </c>
      <c r="C45" s="27">
        <f>IF(B45&lt;&gt;"",IF(COUNT($A$33:A45)&lt;=$G$39,0,$G$41)+IF(COUNT($A$33:A45)&lt;=$G$40,0,$G$42),0)</f>
        <v>85000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43368</v>
      </c>
      <c r="C46" s="27">
        <f>IF(B46&lt;&gt;"",IF(COUNT($A$33:A46)&lt;=$G$39,0,$G$41)+IF(COUNT($A$33:A46)&lt;=$G$40,0,$G$42),0)</f>
        <v>85000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43398</v>
      </c>
      <c r="C47" s="27">
        <f>IF(B47&lt;&gt;"",IF(COUNT($A$33:A47)&lt;=$G$39,0,$G$41)+IF(COUNT($A$33:A47)&lt;=$G$40,0,$G$42),0)</f>
        <v>85000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43429</v>
      </c>
      <c r="C48" s="27">
        <f>IF(B48&lt;&gt;"",IF(COUNT($A$33:A48)&lt;=$G$39,0,$G$41)+IF(COUNT($A$33:A48)&lt;=$G$40,0,$G$42),0)</f>
        <v>85000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43459</v>
      </c>
      <c r="C49" s="27">
        <f>IF(B49&lt;&gt;"",IF(COUNT($A$33:A49)&lt;=$G$39,0,$G$41)+IF(COUNT($A$33:A49)&lt;=$G$40,0,$G$42),0)</f>
        <v>85000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43490</v>
      </c>
      <c r="C50" s="27">
        <f>IF(B50&lt;&gt;"",IF(COUNT($A$33:A50)&lt;=$G$39,0,$G$41)+IF(COUNT($A$33:A50)&lt;=$G$40,0,$G$42),0)</f>
        <v>85000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43521</v>
      </c>
      <c r="C51" s="27">
        <f>IF(B51&lt;&gt;"",IF(COUNT($A$33:A51)&lt;=$G$39,0,$G$41)+IF(COUNT($A$33:A51)&lt;=$G$40,0,$G$42),0)</f>
        <v>85000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43549</v>
      </c>
      <c r="C52" s="27">
        <f>IF(B52&lt;&gt;"",IF(COUNT($A$33:A52)&lt;=$G$39,0,$G$41)+IF(COUNT($A$33:A52)&lt;=$G$40,0,$G$42),0)</f>
        <v>85000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43580</v>
      </c>
      <c r="C53" s="27">
        <f>IF(B53&lt;&gt;"",IF(COUNT($A$33:A53)&lt;=$G$39,0,$G$41)+IF(COUNT($A$33:A53)&lt;=$G$40,0,$G$42),0)</f>
        <v>85000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43610</v>
      </c>
      <c r="C54" s="27">
        <f>IF(B54&lt;&gt;"",IF(COUNT($A$33:A54)&lt;=$G$39,0,$G$41)+IF(COUNT($A$33:A54)&lt;=$G$40,0,$G$42),0)</f>
        <v>85000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43641</v>
      </c>
      <c r="C55" s="27">
        <f>IF(B55&lt;&gt;"",IF(COUNT($A$33:A55)&lt;=$G$39,0,$G$41)+IF(COUNT($A$33:A55)&lt;=$G$40,0,$G$42),0)</f>
        <v>85000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43671</v>
      </c>
      <c r="C56" s="27">
        <f>IF(B56&lt;&gt;"",IF(COUNT($A$33:A56)&lt;=$G$39,0,$G$41)+IF(COUNT($A$33:A56)&lt;=$G$40,0,$G$42),0)</f>
        <v>85000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95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102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201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104</v>
      </c>
      <c r="B41" s="191" t="s">
        <v>91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312</v>
      </c>
      <c r="H52" s="12" t="s">
        <v>133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91</v>
      </c>
      <c r="F77" s="12" t="s">
        <v>91</v>
      </c>
      <c r="G77" s="12" t="s">
        <v>348</v>
      </c>
      <c r="H77" s="12" t="s">
        <v>133</v>
      </c>
      <c r="I77" s="12" t="s">
        <v>349</v>
      </c>
      <c r="J77" s="136" t="s">
        <v>96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97</v>
      </c>
      <c r="F78" s="12" t="s">
        <v>93</v>
      </c>
      <c r="G78" s="12" t="s">
        <v>351</v>
      </c>
      <c r="H78" s="12" t="s">
        <v>313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101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166</v>
      </c>
      <c r="J79" s="70" t="s">
        <v>100</v>
      </c>
      <c r="K79" s="12" t="s">
        <v>91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98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