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<sst xmlns="http://schemas.openxmlformats.org/spreadsheetml/2006/main" uniqueCount="377">
  <si>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</si>
  <si>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</si>
  <si>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</si>
  <si>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</si>
  <si>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</si>
  <si>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</si>
  <si>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</si>
  <si>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</si>
  <si>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</si>
  <si>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</si>
  <si>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</si>
  <si>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</si>
  <si>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</si>
  <si>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</si>
  <si>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</si>
  <si>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</si>
  <si>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</si>
  <si>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</si>
  <si>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</si>
  <si>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</si>
  <si>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</si>
  <si>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</si>
  <si>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</si>
  <si>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</si>
  <si>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</si>
  <si>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</si>
  <si>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</si>
  <si>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</si>
  <si>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</si>
  <si>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</si>
  <si>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</si>
  <si>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</si>
  <si>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</si>
  <si>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</si>
  <si>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</si>
  <si>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</si>
  <si>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</si>
  <si>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</si>
  <si>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</si>
  <si>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</si>
  <si>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</si>
  <si>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</si>
  <si>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</si>
  <si>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</si>
  <si>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</si>
  <si>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</si>
  <si>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</si>
  <si>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</si>
  <si>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</si>
  <si>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</si>
  <si>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</si>
  <si>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</si>
  <si>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</si>
  <si>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</si>
  <si>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</si>
  <si>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</si>
  <si>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</si>
  <si>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</si>
  <si>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</si>
  <si>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</si>
  <si>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</si>
  <si>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</si>
  <si>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</si>
  <si>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</si>
  <si>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</si>
  <si>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</si>
  <si>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</si>
  <si>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</si>
  <si>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</si>
  <si>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</si>
  <si>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</si>
  <si>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</si>
  <si>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</si>
  <si>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</si>
  <si>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</si>
  <si>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</si>
  <si>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</si>
  <si>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</si>
  <si>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</si>
  <si>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</si>
  <si>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</si>
  <si>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</si>
  <si>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</si>
  <si>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</si>
  <si>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</si>
  <si>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</si>
  <si>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</si>
  <si>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</si>
  <si>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</si>
  <si>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</si>
  <si>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Shop_certified variety</t>
  </si>
  <si>
    <t>Yes only manure</t>
  </si>
  <si>
    <t>No</t>
  </si>
  <si>
    <t>Yes without the use of a pump</t>
  </si>
  <si>
    <t>January</t>
  </si>
  <si>
    <t>Beans</t>
  </si>
  <si>
    <t>Other farmers</t>
  </si>
  <si>
    <t>Yes both manure and inorganic</t>
  </si>
  <si>
    <t>Yes</t>
  </si>
  <si>
    <t>March</t>
  </si>
  <si>
    <t>Maize</t>
  </si>
  <si>
    <t>Home recycled</t>
  </si>
  <si>
    <t>Yes Inorganic fertizers</t>
  </si>
  <si>
    <t>Coffee</t>
  </si>
  <si>
    <t>Other crops</t>
  </si>
  <si>
    <t>Shop_common variety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</si>
  <si>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</si>
  <si>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</si>
  <si>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</si>
  <si>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</si>
  <si>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</si>
  <si>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</si>
  <si>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</si>
  <si>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</si>
  <si>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</si>
  <si>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</si>
  <si>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</si>
  <si>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</si>
  <si>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</si>
  <si>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</si>
  <si>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</si>
  <si>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</si>
  <si>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</si>
  <si>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</si>
  <si>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Butcheries and hotel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</si>
  <si>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</si>
  <si>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</si>
  <si>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</si>
  <si>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</si>
  <si>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</si>
  <si>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</si>
  <si>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</si>
  <si>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</si>
  <si>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</si>
  <si>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</si>
  <si>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</si>
  <si>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</si>
  <si>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</si>
  <si>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</si>
  <si>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</si>
  <si>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</si>
  <si>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</si>
  <si>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</si>
  <si>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</si>
  <si>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</si>
  <si>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</si>
  <si>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</si>
  <si>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</si>
  <si>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</si>
  <si>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</si>
  <si>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</si>
  <si>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</si>
  <si>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9/9/2009</t>
  </si>
  <si>
    <t xml:space="preserve">Equity Bank </t>
  </si>
  <si>
    <t xml:space="preserve">cleared </t>
  </si>
  <si>
    <t>11/21/2009</t>
  </si>
  <si>
    <t xml:space="preserve">Cleared </t>
  </si>
  <si>
    <t>8/20/2015</t>
  </si>
  <si>
    <t xml:space="preserve">KWFT Bank </t>
  </si>
  <si>
    <t>4/25/2017</t>
  </si>
  <si>
    <t xml:space="preserve">Musoni Kenya </t>
  </si>
  <si>
    <t xml:space="preserve">To be cleared the loan is approved </t>
  </si>
  <si>
    <t>Mpesa &amp; bank cash flows (from past statements)</t>
  </si>
  <si>
    <t>Cash inflows</t>
  </si>
  <si>
    <t>Cash outflows</t>
  </si>
  <si>
    <t>April</t>
  </si>
  <si>
    <t>December</t>
  </si>
  <si>
    <t>November</t>
  </si>
  <si>
    <t>Loan info</t>
  </si>
  <si>
    <t>Branch ID</t>
  </si>
  <si>
    <t>Submission date</t>
  </si>
  <si>
    <t>2017/4/25</t>
  </si>
  <si>
    <t>Loan terms</t>
  </si>
  <si>
    <t>Expected disbursement date</t>
  </si>
  <si>
    <t>2017/5/4</t>
  </si>
  <si>
    <t>Expected first repayment date</t>
  </si>
  <si>
    <t>2017/6/12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</si>
  <si>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</si>
  <si>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</si>
  <si>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</si>
  <si>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</si>
  <si>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</si>
  <si>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</si>
  <si>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</si>
  <si>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</si>
  <si>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</si>
  <si>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</si>
  <si>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</si>
  <si>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</si>
  <si>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</si>
  <si>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</si>
  <si>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</si>
  <si>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</si>
  <si>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</si>
  <si>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</si>
  <si>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</si>
  <si>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</si>
  <si>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</si>
  <si>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</si>
  <si>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</si>
  <si>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</si>
  <si>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</si>
  <si>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</si>
  <si>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</si>
  <si>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</si>
  <si>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</si>
  <si>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</si>
  <si>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</si>
  <si>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</si>
  <si>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</si>
  <si>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</si>
  <si>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</si>
  <si>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</si>
  <si>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</si>
  <si>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</si>
  <si>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</si>
  <si>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</si>
  <si>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</si>
  <si>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</si>
  <si>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</si>
  <si>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</si>
  <si>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</si>
  <si>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</si>
  <si>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</si>
  <si>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</si>
  <si>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</si>
  <si>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</si>
  <si>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</si>
  <si>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</si>
  <si>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</si>
  <si>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</si>
  <si>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</si>
  <si>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</si>
  <si>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</si>
  <si>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</si>
  <si>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</si>
  <si>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</si>
  <si>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</si>
  <si>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</si>
  <si>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</si>
  <si>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</si>
  <si>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</si>
  <si>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</si>
  <si>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</si>
  <si>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</si>
  <si>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</si>
  <si>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</si>
  <si>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</si>
  <si>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</si>
  <si>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</si>
  <si>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</si>
  <si>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</si>
  <si>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</si>
  <si>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</si>
  <si>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</si>
  <si>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</si>
  <si>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</si>
  <si>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</si>
  <si>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</si>
  <si>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</si>
  <si>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</si>
  <si>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</si>
  <si>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</si>
  <si>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</si>
  <si>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</si>
  <si>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</si>
  <si>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</si>
  <si>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</si>
  <si>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</si>
  <si>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</si>
  <si>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</si>
  <si>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</si>
  <si>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</si>
  <si>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</si>
  <si>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</si>
  <si>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</si>
  <si>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</si>
  <si>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</si>
  <si>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</si>
  <si>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</si>
  <si>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</si>
  <si>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</si>
  <si>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</si>
  <si>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Mangoes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</si>
  <si>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</si>
  <si>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</si>
  <si>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</si>
  <si>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</si>
  <si>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</si>
  <si>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</si>
  <si>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</si>
  <si>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</si>
  <si>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</si>
  <si>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</si>
  <si>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</si>
  <si>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</si>
  <si>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</si>
  <si>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</si>
  <si>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</si>
  <si>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</si>
  <si>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</si>
  <si>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</si>
  <si>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</si>
  <si>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</si>
  <si>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</si>
  <si>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</si>
  <si>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</si>
  <si>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</si>
  <si>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</si>
  <si>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</si>
  <si>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</si>
  <si>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</si>
  <si>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</si>
  <si>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</si>
  <si>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</si>
  <si>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</si>
  <si>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</si>
  <si>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</si>
  <si>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</si>
  <si>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</si>
  <si>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</si>
  <si>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</si>
  <si>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</si>
  <si>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</si>
  <si>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</si>
  <si>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</si>
  <si>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</si>
  <si>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</si>
  <si>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</si>
  <si>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</si>
  <si>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</si>
  <si>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</si>
  <si>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</si>
  <si>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</si>
  <si>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</si>
  <si>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</si>
  <si>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</si>
  <si>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</si>
  <si>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</si>
  <si>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</si>
  <si>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</si>
  <si>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</si>
  <si>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</si>
  <si>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</si>
  <si>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</si>
  <si>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</si>
  <si>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</si>
  <si>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</si>
  <si>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</si>
  <si>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</si>
  <si>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</si>
  <si>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</si>
  <si>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</si>
  <si>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</si>
  <si>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</si>
  <si>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</si>
  <si>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</si>
  <si>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</si>
  <si>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</si>
  <si>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</si>
  <si>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</si>
  <si>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</si>
  <si>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</si>
  <si>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</si>
  <si>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</si>
  <si>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</si>
  <si>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</si>
  <si>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Yes inorganic fertilizers</t>
  </si>
  <si>
    <t>Yes using a solar pump</t>
  </si>
  <si>
    <t>Always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</si>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</sst>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Beans, Maize, Coffee,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Butcheries and hotel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0.356651626565755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0.00712719298245614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54083.33333333334</v>
      </c>
    </row>
    <row r="17" spans="1:7">
      <c r="B17" s="1" t="s">
        <v>11</v>
      </c>
      <c r="C17" s="36">
        <f>SUM(Output!B6:M6)</f>
        <v>1153432.05563332</v>
      </c>
    </row>
    <row r="18" spans="1:7">
      <c r="B18" s="1" t="s">
        <v>12</v>
      </c>
      <c r="C18" s="36">
        <f>MIN(Output!B6:M6)</f>
        <v>34304.77468703776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329260.0659132644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1480500</v>
      </c>
    </row>
    <row r="25" spans="1:7">
      <c r="B25" s="1" t="s">
        <v>18</v>
      </c>
      <c r="C25" s="36">
        <f>MAX(Inputs!A56:A60)</f>
        <v>4500000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43812.0720589352</v>
      </c>
      <c r="C6" s="51">
        <f>C30-C88</f>
        <v>72458.77468703776</v>
      </c>
      <c r="D6" s="51">
        <f>D30-D88</f>
        <v>329260.0659132644</v>
      </c>
      <c r="E6" s="51">
        <f>E30-E88</f>
        <v>49753.20063873155</v>
      </c>
      <c r="F6" s="51">
        <f>F30-F88</f>
        <v>47732.0720589352</v>
      </c>
      <c r="G6" s="51">
        <f>G30-G88</f>
        <v>34304.77468703776</v>
      </c>
      <c r="H6" s="51">
        <f>H30-H88</f>
        <v>43812.0720589352</v>
      </c>
      <c r="I6" s="51">
        <f>I30-I88</f>
        <v>73473.36943083264</v>
      </c>
      <c r="J6" s="51">
        <f>J30-J88</f>
        <v>329260.0659132644</v>
      </c>
      <c r="K6" s="51">
        <f>K30-K88</f>
        <v>49753.20063873155</v>
      </c>
      <c r="L6" s="51">
        <f>L30-L88</f>
        <v>44493.01811678136</v>
      </c>
      <c r="M6" s="51">
        <f>M30-M88</f>
        <v>35319.36943083264</v>
      </c>
      <c r="N6" s="51">
        <f>N30-N88</f>
        <v>43812.0720589352</v>
      </c>
      <c r="O6" s="51">
        <f>O30-O88</f>
        <v>72458.77468703776</v>
      </c>
      <c r="P6" s="51">
        <f>P30-P88</f>
        <v>334760.0659132644</v>
      </c>
      <c r="Q6" s="51">
        <f>Q30-Q88</f>
        <v>55253.20063873155</v>
      </c>
      <c r="R6" s="51">
        <f>R30-R88</f>
        <v>53232.0720589352</v>
      </c>
      <c r="S6" s="51">
        <f>S30-S88</f>
        <v>39804.77468703776</v>
      </c>
      <c r="T6" s="51">
        <f>T30-T88</f>
        <v>49312.0720589352</v>
      </c>
      <c r="U6" s="51">
        <f>U30-U88</f>
        <v>78973.36943083264</v>
      </c>
      <c r="V6" s="51">
        <f>V30-V88</f>
        <v>334760.0659132644</v>
      </c>
      <c r="W6" s="51">
        <f>W30-W88</f>
        <v>55253.20063873155</v>
      </c>
      <c r="X6" s="51">
        <f>X30-X88</f>
        <v>49993.01811678136</v>
      </c>
      <c r="Y6" s="51">
        <f>Y30-Y88</f>
        <v>40819.36943083264</v>
      </c>
      <c r="Z6" s="51">
        <f>SUMIF($B$13:$Y$13,"Yes",B6:Y6)</f>
        <v>1269702.902379293</v>
      </c>
      <c r="AA6" s="51">
        <f>AA30-AA88</f>
        <v>1153432.05563332</v>
      </c>
      <c r="AB6" s="51">
        <f>AB30-AB88</f>
        <v>2361864.11126664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54860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48110</v>
      </c>
      <c r="J7" s="80">
        <f>IF(ISERROR(VLOOKUP(MONTH(J5),Inputs!$D$66:$D$71,1,0)),"",INDEX(Inputs!$B$66:$B$71,MATCH(MONTH(Output!J5),Inputs!$D$66:$D$71,0))-INDEX(Inputs!$C$66:$C$71,MATCH(MONTH(Output!J5),Inputs!$D$66:$D$71,0)))</f>
        <v>70024</v>
      </c>
      <c r="K7" s="80">
        <f>IF(ISERROR(VLOOKUP(MONTH(K5),Inputs!$D$66:$D$71,1,0)),"",INDEX(Inputs!$B$66:$B$71,MATCH(MONTH(Output!K5),Inputs!$D$66:$D$71,0))-INDEX(Inputs!$C$66:$C$71,MATCH(MONTH(Output!K5),Inputs!$D$66:$D$71,0)))</f>
        <v>51000</v>
      </c>
      <c r="L7" s="80">
        <f>IF(ISERROR(VLOOKUP(MONTH(L5),Inputs!$D$66:$D$71,1,0)),"",INDEX(Inputs!$B$66:$B$71,MATCH(MONTH(Output!L5),Inputs!$D$66:$D$71,0))-INDEX(Inputs!$C$66:$C$71,MATCH(MONTH(Output!L5),Inputs!$D$66:$D$71,0)))</f>
        <v>51735</v>
      </c>
      <c r="M7" s="80">
        <f>IF(ISERROR(VLOOKUP(MONTH(M5),Inputs!$D$66:$D$71,1,0)),"",INDEX(Inputs!$B$66:$B$71,MATCH(MONTH(Output!M5),Inputs!$D$66:$D$71,0))-INDEX(Inputs!$C$66:$C$71,MATCH(MONTH(Output!M5),Inputs!$D$66:$D$71,0)))</f>
        <v>65714</v>
      </c>
      <c r="N7" s="80">
        <f>IF(ISERROR(VLOOKUP(MONTH(N5),Inputs!$D$66:$D$71,1,0)),"",INDEX(Inputs!$B$66:$B$71,MATCH(MONTH(Output!N5),Inputs!$D$66:$D$71,0))-INDEX(Inputs!$C$66:$C$71,MATCH(MONTH(Output!N5),Inputs!$D$66:$D$71,0)))</f>
        <v>54860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48110</v>
      </c>
      <c r="V7" s="80">
        <f>IF(ISERROR(VLOOKUP(MONTH(V5),Inputs!$D$66:$D$71,1,0)),"",INDEX(Inputs!$B$66:$B$71,MATCH(MONTH(Output!V5),Inputs!$D$66:$D$71,0))-INDEX(Inputs!$C$66:$C$71,MATCH(MONTH(Output!V5),Inputs!$D$66:$D$71,0)))</f>
        <v>70024</v>
      </c>
      <c r="W7" s="80">
        <f>IF(ISERROR(VLOOKUP(MONTH(W5),Inputs!$D$66:$D$71,1,0)),"",INDEX(Inputs!$B$66:$B$71,MATCH(MONTH(Output!W5),Inputs!$D$66:$D$71,0))-INDEX(Inputs!$C$66:$C$71,MATCH(MONTH(Output!W5),Inputs!$D$66:$D$71,0)))</f>
        <v>51000</v>
      </c>
      <c r="X7" s="80">
        <f>IF(ISERROR(VLOOKUP(MONTH(X5),Inputs!$D$66:$D$71,1,0)),"",INDEX(Inputs!$B$66:$B$71,MATCH(MONTH(Output!X5),Inputs!$D$66:$D$71,0))-INDEX(Inputs!$C$66:$C$71,MATCH(MONTH(Output!X5),Inputs!$D$66:$D$71,0)))</f>
        <v>51735</v>
      </c>
      <c r="Y7" s="80">
        <f>IF(ISERROR(VLOOKUP(MONTH(Y5),Inputs!$D$66:$D$71,1,0)),"",INDEX(Inputs!$B$66:$B$71,MATCH(MONTH(Output!Y5),Inputs!$D$66:$D$71,0))-INDEX(Inputs!$C$66:$C$71,MATCH(MONTH(Output!Y5),Inputs!$D$66:$D$71,0)))</f>
        <v>65714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550000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550000</v>
      </c>
      <c r="AA9" s="75">
        <f>SUM(B9:M9)</f>
        <v>550000</v>
      </c>
      <c r="AB9" s="75">
        <f>SUM(B9:Y9)</f>
        <v>550000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54083.33333333334</v>
      </c>
      <c r="E10" s="37">
        <f>SUMPRODUCT((Calculations!$D$33:$D$84=Output!E5)+0,Calculations!$C$33:$C$84)</f>
        <v>54083.33333333334</v>
      </c>
      <c r="F10" s="37">
        <f>SUMPRODUCT((Calculations!$D$33:$D$84=Output!F5)+0,Calculations!$C$33:$C$84)</f>
        <v>54083.33333333334</v>
      </c>
      <c r="G10" s="37">
        <f>SUMPRODUCT((Calculations!$D$33:$D$84=Output!G5)+0,Calculations!$C$33:$C$84)</f>
        <v>54083.33333333334</v>
      </c>
      <c r="H10" s="37">
        <f>SUMPRODUCT((Calculations!$D$33:$D$84=Output!H5)+0,Calculations!$C$33:$C$84)</f>
        <v>54083.33333333334</v>
      </c>
      <c r="I10" s="37">
        <f>SUMPRODUCT((Calculations!$D$33:$D$84=Output!I5)+0,Calculations!$C$33:$C$84)</f>
        <v>54083.33333333334</v>
      </c>
      <c r="J10" s="37">
        <f>SUMPRODUCT((Calculations!$D$33:$D$84=Output!J5)+0,Calculations!$C$33:$C$84)</f>
        <v>54083.33333333334</v>
      </c>
      <c r="K10" s="37">
        <f>SUMPRODUCT((Calculations!$D$33:$D$84=Output!K5)+0,Calculations!$C$33:$C$84)</f>
        <v>54083.33333333334</v>
      </c>
      <c r="L10" s="37">
        <f>SUMPRODUCT((Calculations!$D$33:$D$84=Output!L5)+0,Calculations!$C$33:$C$84)</f>
        <v>54083.33333333334</v>
      </c>
      <c r="M10" s="37">
        <f>SUMPRODUCT((Calculations!$D$33:$D$84=Output!M5)+0,Calculations!$C$33:$C$84)</f>
        <v>54083.33333333334</v>
      </c>
      <c r="N10" s="37">
        <f>SUMPRODUCT((Calculations!$D$33:$D$84=Output!N5)+0,Calculations!$C$33:$C$84)</f>
        <v>54083.33333333334</v>
      </c>
      <c r="O10" s="37">
        <f>SUMPRODUCT((Calculations!$D$33:$D$84=Output!O5)+0,Calculations!$C$33:$C$84)</f>
        <v>54083.33333333334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649000</v>
      </c>
      <c r="AA10" s="37">
        <f>SUM(B10:M10)</f>
        <v>540833.3333333333</v>
      </c>
      <c r="AB10" s="37">
        <f>SUM(B10:Y10)</f>
        <v>649000</v>
      </c>
    </row>
    <row r="11" spans="1:30" customHeight="1" ht="15.75">
      <c r="A11" s="43" t="s">
        <v>31</v>
      </c>
      <c r="B11" s="80">
        <f>B6+B9-B10</f>
        <v>43812.0720589352</v>
      </c>
      <c r="C11" s="80">
        <f>C6+C9-C10</f>
        <v>622458.7746870378</v>
      </c>
      <c r="D11" s="80">
        <f>D6+D9-D10</f>
        <v>275176.7325799311</v>
      </c>
      <c r="E11" s="80">
        <f>E6+E9-E10</f>
        <v>-4330.132694601787</v>
      </c>
      <c r="F11" s="80">
        <f>F6+F9-F10</f>
        <v>-6351.261274398137</v>
      </c>
      <c r="G11" s="80">
        <f>G6+G9-G10</f>
        <v>-19778.55864629558</v>
      </c>
      <c r="H11" s="80">
        <f>H6+H9-H10</f>
        <v>-10271.26127439814</v>
      </c>
      <c r="I11" s="80">
        <f>I6+I9-I10</f>
        <v>19390.0360974993</v>
      </c>
      <c r="J11" s="80">
        <f>J6+J9-J10</f>
        <v>275176.7325799311</v>
      </c>
      <c r="K11" s="80">
        <f>K6+K9-K10</f>
        <v>-4330.132694601787</v>
      </c>
      <c r="L11" s="80">
        <f>L6+L9-L10</f>
        <v>-9590.315216551979</v>
      </c>
      <c r="M11" s="80">
        <f>M6+M9-M10</f>
        <v>-18763.9639025007</v>
      </c>
      <c r="N11" s="80">
        <f>N6+N9-N10</f>
        <v>-10271.26127439814</v>
      </c>
      <c r="O11" s="80">
        <f>O6+O9-O10</f>
        <v>18375.44135370442</v>
      </c>
      <c r="P11" s="80">
        <f>P6+P9-P10</f>
        <v>334760.0659132644</v>
      </c>
      <c r="Q11" s="80">
        <f>Q6+Q9-Q10</f>
        <v>55253.20063873155</v>
      </c>
      <c r="R11" s="80">
        <f>R6+R9-R10</f>
        <v>53232.0720589352</v>
      </c>
      <c r="S11" s="80">
        <f>S6+S9-S10</f>
        <v>39804.77468703776</v>
      </c>
      <c r="T11" s="80">
        <f>T6+T9-T10</f>
        <v>49312.0720589352</v>
      </c>
      <c r="U11" s="80">
        <f>U6+U9-U10</f>
        <v>78973.36943083264</v>
      </c>
      <c r="V11" s="80">
        <f>V6+V9-V10</f>
        <v>334760.0659132644</v>
      </c>
      <c r="W11" s="80">
        <f>W6+W9-W10</f>
        <v>55253.20063873155</v>
      </c>
      <c r="X11" s="80">
        <f>X6+X9-X10</f>
        <v>49993.01811678136</v>
      </c>
      <c r="Y11" s="80">
        <f>Y6+Y9-Y10</f>
        <v>40819.36943083264</v>
      </c>
      <c r="Z11" s="85">
        <f>SUMIF($B$13:$Y$13,"Yes",B11:Y11)</f>
        <v>1170702.902379293</v>
      </c>
      <c r="AA11" s="80">
        <f>SUM(B11:M11)</f>
        <v>1162598.722299986</v>
      </c>
      <c r="AB11" s="46">
        <f>SUM(B11:Y11)</f>
        <v>2262864.111266639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0.05432612151526996</v>
      </c>
      <c r="E12" s="82">
        <f>IF(E13="Yes",IF(SUM($B$10:E10)/(SUM($B$6:E6)+SUM($B$9:E9))&lt;0,999.99,SUM($B$10:E10)/(SUM($B$6:E6)+SUM($B$9:E9))),"")</f>
        <v>0.103480637742968</v>
      </c>
      <c r="F12" s="82">
        <f>IF(F13="Yes",IF(SUM($B$10:F10)/(SUM($B$6:F6)+SUM($B$9:F9))&lt;0,999.99,SUM($B$10:F10)/(SUM($B$6:F6)+SUM($B$9:F9))),"")</f>
        <v>0.1484424495937544</v>
      </c>
      <c r="G12" s="82">
        <f>IF(G13="Yes",IF(SUM($B$10:G10)/(SUM($B$6:G6)+SUM($B$9:G9))&lt;0,999.99,SUM($B$10:G10)/(SUM($B$6:G6)+SUM($B$9:G9))),"")</f>
        <v>0.1919003912824444</v>
      </c>
      <c r="H12" s="82">
        <f>IF(H13="Yes",IF(SUM($B$10:H10)/(SUM($B$6:H6)+SUM($B$9:H9))&lt;0,999.99,SUM($B$10:H10)/(SUM($B$6:H6)+SUM($B$9:H9))),"")</f>
        <v>0.2309017500608865</v>
      </c>
      <c r="I12" s="82">
        <f>IF(I13="Yes",IF(SUM($B$10:I10)/(SUM($B$6:I6)+SUM($B$9:I9))&lt;0,999.99,SUM($B$10:I10)/(SUM($B$6:I6)+SUM($B$9:I9))),"")</f>
        <v>0.2607249967540931</v>
      </c>
      <c r="J12" s="82">
        <f>IF(J13="Yes",IF(SUM($B$10:J10)/(SUM($B$6:J6)+SUM($B$9:J9))&lt;0,999.99,SUM($B$10:J10)/(SUM($B$6:J6)+SUM($B$9:J9))),"")</f>
        <v>0.2405434902920621</v>
      </c>
      <c r="K12" s="82">
        <f>IF(K13="Yes",IF(SUM($B$10:K10)/(SUM($B$6:K6)+SUM($B$9:K9))&lt;0,999.99,SUM($B$10:K10)/(SUM($B$6:K6)+SUM($B$9:K9))),"")</f>
        <v>0.2664827700546354</v>
      </c>
      <c r="L12" s="82">
        <f>IF(L13="Yes",IF(SUM($B$10:L10)/(SUM($B$6:L6)+SUM($B$9:L9))&lt;0,999.99,SUM($B$10:L10)/(SUM($B$6:L6)+SUM($B$9:L9))),"")</f>
        <v>0.2917968336468337</v>
      </c>
      <c r="M12" s="82">
        <f>IF(M13="Yes",IF(SUM($B$10:M10)/(SUM($B$6:M6)+SUM($B$9:M9))&lt;0,999.99,SUM($B$10:M10)/(SUM($B$6:M6)+SUM($B$9:M9))),"")</f>
        <v>0.3174962755601407</v>
      </c>
      <c r="N12" s="82">
        <f>IF(N13="Yes",IF(SUM($B$10:N10)/(SUM($B$6:N6)+SUM($B$9:N9))&lt;0,999.99,SUM($B$10:N10)/(SUM($B$6:N6)+SUM($B$9:N9))),"")</f>
        <v>0.3404885769754611</v>
      </c>
      <c r="O12" s="82">
        <f>IF(O13="Yes",IF(SUM($B$10:O10)/(SUM($B$6:O6)+SUM($B$9:O9))&lt;0,999.99,SUM($B$10:O10)/(SUM($B$6:O6)+SUM($B$9:O9))),"")</f>
        <v>0.356651626565755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0</v>
      </c>
      <c r="C18" s="36">
        <f>O18</f>
        <v>0</v>
      </c>
      <c r="D18" s="36">
        <f>P18</f>
        <v>279983.0477964831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279983.0477964831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279983.0477964831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279983.0477964831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559966.0955929662</v>
      </c>
      <c r="AA18" s="36">
        <f>SUM(B18:M18)</f>
        <v>559966.0955929662</v>
      </c>
      <c r="AB18" s="36">
        <f>SUM(B18:Y18)</f>
        <v>1119932.191185932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13392.1825219502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13392.1825219502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13392.1825219502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13392.1825219502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26784.3650439004</v>
      </c>
      <c r="AA19" s="36">
        <f>SUM(B19:M19)</f>
        <v>26784.3650439004</v>
      </c>
      <c r="AB19" s="36">
        <f>SUM(B19:Y19)</f>
        <v>53568.7300878008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35154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35154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35154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35154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105462</v>
      </c>
      <c r="AA20" s="36">
        <f>SUM(B20:M20)</f>
        <v>70308</v>
      </c>
      <c r="AB20" s="36">
        <f>SUM(B20:Y20)</f>
        <v>140616</v>
      </c>
    </row>
    <row r="21" spans="1:30">
      <c r="A21" t="str">
        <f>IF(Calculations!A7&lt;&gt;Parameters!$A$18,IF(Calculations!A7=0,"",Calculations!A7),Inputs!B10)</f>
        <v>Coffee</v>
      </c>
      <c r="B21" s="36">
        <f>N21</f>
        <v>507.2973718974358</v>
      </c>
      <c r="C21" s="36">
        <f>O21</f>
        <v>0</v>
      </c>
      <c r="D21" s="36">
        <f>P21</f>
        <v>1268.24342974359</v>
      </c>
      <c r="E21" s="36">
        <f>Q21</f>
        <v>1268.24342974359</v>
      </c>
      <c r="F21" s="36">
        <f>R21</f>
        <v>507.2973718974358</v>
      </c>
      <c r="G21" s="36">
        <f>S21</f>
        <v>0</v>
      </c>
      <c r="H21" s="36">
        <f>T21</f>
        <v>507.2973718974358</v>
      </c>
      <c r="I21" s="36">
        <f>U21</f>
        <v>1014.594743794872</v>
      </c>
      <c r="J21" s="36">
        <f>V21</f>
        <v>1268.24342974359</v>
      </c>
      <c r="K21" s="36">
        <f>W21</f>
        <v>1268.24342974359</v>
      </c>
      <c r="L21" s="36">
        <f>X21</f>
        <v>1268.24342974359</v>
      </c>
      <c r="M21" s="36">
        <f>Y21</f>
        <v>1014.594743794872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507.2973718974358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1268.24342974359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1268.24342974359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507.2973718974358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507.2973718974358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1014.594743794872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1268.24342974359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1268.24342974359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1268.24342974359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1014.594743794872</v>
      </c>
      <c r="Z21" s="36">
        <f>SUMIF($B$13:$Y$13,"Yes",B21:Y21)</f>
        <v>10399.59612389744</v>
      </c>
      <c r="AA21" s="36">
        <f>SUM(B21:M21)</f>
        <v>9892.298752000002</v>
      </c>
      <c r="AB21" s="36">
        <f>SUM(B21:Y21)</f>
        <v>19784.597504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2100000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150507.2973718974</v>
      </c>
      <c r="C30" s="19">
        <f>SUM(C18:C29)</f>
        <v>185154</v>
      </c>
      <c r="D30" s="19">
        <f>SUM(D18:D29)</f>
        <v>431251.2912262267</v>
      </c>
      <c r="E30" s="19">
        <f>SUM(E18:E29)</f>
        <v>164660.4259516938</v>
      </c>
      <c r="F30" s="19">
        <f>SUM(F18:F29)</f>
        <v>150507.2973718974</v>
      </c>
      <c r="G30" s="19">
        <f>SUM(G18:G29)</f>
        <v>150000</v>
      </c>
      <c r="H30" s="19">
        <f>SUM(H18:H29)</f>
        <v>150507.2973718974</v>
      </c>
      <c r="I30" s="19">
        <f>SUM(I18:I29)</f>
        <v>186168.5947437949</v>
      </c>
      <c r="J30" s="19">
        <f>SUM(J18:J29)</f>
        <v>431251.2912262267</v>
      </c>
      <c r="K30" s="19">
        <f>SUM(K18:K29)</f>
        <v>164660.4259516938</v>
      </c>
      <c r="L30" s="19">
        <f>SUM(L18:L29)</f>
        <v>151268.2434297436</v>
      </c>
      <c r="M30" s="19">
        <f>SUM(M18:M29)</f>
        <v>151014.5947437949</v>
      </c>
      <c r="N30" s="19">
        <f>SUM(N18:N29)</f>
        <v>150507.2973718974</v>
      </c>
      <c r="O30" s="19">
        <f>SUM(O18:O29)</f>
        <v>185154</v>
      </c>
      <c r="P30" s="19">
        <f>SUM(P18:P29)</f>
        <v>431251.2912262267</v>
      </c>
      <c r="Q30" s="19">
        <f>SUM(Q18:Q29)</f>
        <v>164660.4259516938</v>
      </c>
      <c r="R30" s="19">
        <f>SUM(R18:R29)</f>
        <v>150507.2973718974</v>
      </c>
      <c r="S30" s="19">
        <f>SUM(S18:S29)</f>
        <v>150000</v>
      </c>
      <c r="T30" s="19">
        <f>SUM(T18:T29)</f>
        <v>150507.2973718974</v>
      </c>
      <c r="U30" s="19">
        <f>SUM(U18:U29)</f>
        <v>186168.5947437949</v>
      </c>
      <c r="V30" s="19">
        <f>SUM(V18:V29)</f>
        <v>431251.2912262267</v>
      </c>
      <c r="W30" s="19">
        <f>SUM(W18:W29)</f>
        <v>164660.4259516938</v>
      </c>
      <c r="X30" s="19">
        <f>SUM(X18:X29)</f>
        <v>151268.2434297436</v>
      </c>
      <c r="Y30" s="19">
        <f>SUM(Y18:Y29)</f>
        <v>151014.5947437949</v>
      </c>
      <c r="Z30" s="19">
        <f>SUMIF($B$13:$Y$13,"Yes",B30:Y30)</f>
        <v>2802612.056760764</v>
      </c>
      <c r="AA30" s="19">
        <f>SUM(B30:M30)</f>
        <v>2466950.759388866</v>
      </c>
      <c r="AB30" s="19">
        <f>SUM(B30:Y30)</f>
        <v>4933901.518777733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333.3333333333333</v>
      </c>
      <c r="C36" s="36">
        <f>O36</f>
        <v>333.3333333333333</v>
      </c>
      <c r="D36" s="36">
        <f>P36</f>
        <v>333.3333333333333</v>
      </c>
      <c r="E36" s="36">
        <f>Q36</f>
        <v>4333.333333333333</v>
      </c>
      <c r="F36" s="36">
        <f>R36</f>
        <v>333.3333333333333</v>
      </c>
      <c r="G36" s="36">
        <f>S36</f>
        <v>4333.333333333333</v>
      </c>
      <c r="H36" s="36">
        <f>T36</f>
        <v>333.3333333333333</v>
      </c>
      <c r="I36" s="36">
        <f>U36</f>
        <v>333.3333333333333</v>
      </c>
      <c r="J36" s="36">
        <f>V36</f>
        <v>333.3333333333333</v>
      </c>
      <c r="K36" s="36">
        <f>W36</f>
        <v>4333.333333333333</v>
      </c>
      <c r="L36" s="36">
        <f>X36</f>
        <v>4333.333333333333</v>
      </c>
      <c r="M36" s="36">
        <f>Y36</f>
        <v>4333.333333333333</v>
      </c>
      <c r="N36" s="36">
        <f>SUM(N37:N41)</f>
        <v>333.3333333333333</v>
      </c>
      <c r="O36" s="36">
        <f>SUM(O37:O41)</f>
        <v>333.3333333333333</v>
      </c>
      <c r="P36" s="36">
        <f>SUM(P37:P41)</f>
        <v>333.3333333333333</v>
      </c>
      <c r="Q36" s="36">
        <f>SUM(Q37:Q41)</f>
        <v>4333.333333333333</v>
      </c>
      <c r="R36" s="36">
        <f>SUM(R37:R41)</f>
        <v>333.3333333333333</v>
      </c>
      <c r="S36" s="36">
        <f>SUM(S37:S41)</f>
        <v>4333.333333333333</v>
      </c>
      <c r="T36" s="36">
        <f>SUM(T37:T41)</f>
        <v>333.3333333333333</v>
      </c>
      <c r="U36" s="36">
        <f>SUM(U37:U41)</f>
        <v>333.3333333333333</v>
      </c>
      <c r="V36" s="36">
        <f>SUM(V37:V41)</f>
        <v>333.3333333333333</v>
      </c>
      <c r="W36" s="36">
        <f>SUM(W37:W41)</f>
        <v>4333.333333333333</v>
      </c>
      <c r="X36" s="36">
        <f>SUM(X37:X41)</f>
        <v>4333.333333333333</v>
      </c>
      <c r="Y36" s="36">
        <f>SUM(Y37:Y41)</f>
        <v>4333.333333333333</v>
      </c>
      <c r="Z36" s="36">
        <f>SUMIF($B$13:$Y$13,"Yes",B36:Y36)</f>
        <v>24666.66666666666</v>
      </c>
      <c r="AA36" s="36">
        <f>SUM(B36:M36)</f>
        <v>24000</v>
      </c>
      <c r="AB36" s="36">
        <f>SUM(B36:Y36)</f>
        <v>48000.00000000001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4000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4000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4000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4000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4000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4000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Coffee</v>
      </c>
      <c r="B40" s="36">
        <f>N40</f>
        <v>333.3333333333333</v>
      </c>
      <c r="C40" s="36">
        <f>O40</f>
        <v>333.3333333333333</v>
      </c>
      <c r="D40" s="36">
        <f>P40</f>
        <v>333.3333333333333</v>
      </c>
      <c r="E40" s="36">
        <f>Q40</f>
        <v>333.3333333333333</v>
      </c>
      <c r="F40" s="36">
        <f>R40</f>
        <v>333.3333333333333</v>
      </c>
      <c r="G40" s="36">
        <f>S40</f>
        <v>333.3333333333333</v>
      </c>
      <c r="H40" s="36">
        <f>T40</f>
        <v>333.3333333333333</v>
      </c>
      <c r="I40" s="36">
        <f>U40</f>
        <v>333.3333333333333</v>
      </c>
      <c r="J40" s="36">
        <f>V40</f>
        <v>333.3333333333333</v>
      </c>
      <c r="K40" s="36">
        <f>W40</f>
        <v>333.3333333333333</v>
      </c>
      <c r="L40" s="36">
        <f>X40</f>
        <v>333.3333333333333</v>
      </c>
      <c r="M40" s="36">
        <f>Y40</f>
        <v>333.3333333333333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333.3333333333333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333.3333333333333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333.3333333333333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333.3333333333333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333.3333333333333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333.3333333333333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333.3333333333333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333.3333333333333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333.3333333333333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333.3333333333333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333.3333333333333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333.3333333333333</v>
      </c>
      <c r="Z40" s="36">
        <f>SUMIF($B$13:$Y$13,"Yes",B40:Y40)</f>
        <v>4666.666666666667</v>
      </c>
      <c r="AA40" s="36">
        <f>SUM(B40:M40)</f>
        <v>4000</v>
      </c>
      <c r="AB40" s="36">
        <f>SUM(B40:Y40)</f>
        <v>7999.999999999997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4000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4000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4000</v>
      </c>
      <c r="AA41" s="36">
        <f>SUM(B41:M41)</f>
        <v>4000</v>
      </c>
      <c r="AB41" s="36">
        <f>SUM(B41:Y41)</f>
        <v>8000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4212</v>
      </c>
      <c r="F42" s="36">
        <f>R42</f>
        <v>0</v>
      </c>
      <c r="G42" s="36">
        <f>S42</f>
        <v>5000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4212</v>
      </c>
      <c r="L42" s="36">
        <f>X42</f>
        <v>0</v>
      </c>
      <c r="M42" s="36">
        <f>Y42</f>
        <v>5000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4212</v>
      </c>
      <c r="R42" s="36">
        <f>SUM(R43:R47)</f>
        <v>0</v>
      </c>
      <c r="S42" s="36">
        <f>SUM(S43:S47)</f>
        <v>5000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4212</v>
      </c>
      <c r="X42" s="36">
        <f>SUM(X43:X47)</f>
        <v>0</v>
      </c>
      <c r="Y42" s="36">
        <f>SUM(Y43:Y47)</f>
        <v>5000</v>
      </c>
      <c r="Z42" s="36">
        <f>SUMIF($B$13:$Y$13,"Yes",B42:Y42)</f>
        <v>18424</v>
      </c>
      <c r="AA42" s="36">
        <f>SUM(B42:M42)</f>
        <v>18424</v>
      </c>
      <c r="AB42" s="36">
        <f>SUM(B42:Y42)</f>
        <v>36848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3000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3000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3000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3000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6000</v>
      </c>
      <c r="AA43" s="36">
        <f>SUM(B43:M43)</f>
        <v>6000</v>
      </c>
      <c r="AB43" s="36">
        <f>SUM(B43:Y43)</f>
        <v>12000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5000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5000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5000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5000</v>
      </c>
      <c r="Z44" s="36">
        <f>SUMIF($B$13:$Y$13,"Yes",B44:Y44)</f>
        <v>10000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1212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1212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1212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1212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2424</v>
      </c>
      <c r="AA45" s="36">
        <f>SUM(B45:M45)</f>
        <v>2424</v>
      </c>
      <c r="AB45" s="36">
        <f>SUM(B45:Y45)</f>
        <v>4848.000000000001</v>
      </c>
    </row>
    <row r="46" spans="1:30" hidden="true" outlineLevel="1">
      <c r="A46" s="181" t="str">
        <f>Calculations!$A$7</f>
        <v>Coffee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6000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6000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6000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6000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18000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6000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6000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6000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6000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Coffee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Coffee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Onions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Coffee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13115.66666666667</v>
      </c>
      <c r="C66" s="36">
        <f>O66</f>
        <v>13115.66666666667</v>
      </c>
      <c r="D66" s="36">
        <f>P66</f>
        <v>8411.666666666666</v>
      </c>
      <c r="E66" s="36">
        <f>Q66</f>
        <v>13115.66666666667</v>
      </c>
      <c r="F66" s="36">
        <f>R66</f>
        <v>9195.666666666666</v>
      </c>
      <c r="G66" s="36">
        <f>S66</f>
        <v>13115.66666666667</v>
      </c>
      <c r="H66" s="36">
        <f>T66</f>
        <v>13115.66666666667</v>
      </c>
      <c r="I66" s="36">
        <f>U66</f>
        <v>13115.66666666667</v>
      </c>
      <c r="J66" s="36">
        <f>V66</f>
        <v>8411.666666666666</v>
      </c>
      <c r="K66" s="36">
        <f>W66</f>
        <v>13115.66666666667</v>
      </c>
      <c r="L66" s="36">
        <f>X66</f>
        <v>9195.666666666666</v>
      </c>
      <c r="M66" s="36">
        <f>Y66</f>
        <v>13115.66666666667</v>
      </c>
      <c r="N66" s="46">
        <f>SUM(N67:N71)</f>
        <v>13115.66666666667</v>
      </c>
      <c r="O66" s="46">
        <f>SUM(O67:O71)</f>
        <v>13115.66666666667</v>
      </c>
      <c r="P66" s="46">
        <f>SUM(P67:P71)</f>
        <v>8411.666666666666</v>
      </c>
      <c r="Q66" s="46">
        <f>SUM(Q67:Q71)</f>
        <v>13115.66666666667</v>
      </c>
      <c r="R66" s="46">
        <f>SUM(R67:R71)</f>
        <v>9195.666666666666</v>
      </c>
      <c r="S66" s="46">
        <f>SUM(S67:S71)</f>
        <v>13115.66666666667</v>
      </c>
      <c r="T66" s="46">
        <f>SUM(T67:T71)</f>
        <v>13115.66666666667</v>
      </c>
      <c r="U66" s="46">
        <f>SUM(U67:U71)</f>
        <v>13115.66666666667</v>
      </c>
      <c r="V66" s="46">
        <f>SUM(V67:V71)</f>
        <v>8411.666666666666</v>
      </c>
      <c r="W66" s="46">
        <f>SUM(W67:W71)</f>
        <v>13115.66666666667</v>
      </c>
      <c r="X66" s="46">
        <f>SUM(X67:X71)</f>
        <v>9195.666666666666</v>
      </c>
      <c r="Y66" s="46">
        <f>SUM(Y67:Y71)</f>
        <v>13115.66666666667</v>
      </c>
      <c r="Z66" s="46">
        <f>SUMIF($B$13:$Y$13,"Yes",B66:Y66)</f>
        <v>166371.3333333333</v>
      </c>
      <c r="AA66" s="46">
        <f>SUM(B66:M66)</f>
        <v>140140</v>
      </c>
      <c r="AB66" s="46">
        <f>SUM(B66:Y66)</f>
        <v>280279.9999999999</v>
      </c>
    </row>
    <row r="67" spans="1:30" hidden="true" outlineLevel="1">
      <c r="A67" s="181" t="str">
        <f>Calculations!$A$4</f>
        <v>Onions</v>
      </c>
      <c r="B67" s="36">
        <f>N67</f>
        <v>2450</v>
      </c>
      <c r="C67" s="36">
        <f>O67</f>
        <v>2450</v>
      </c>
      <c r="D67" s="36">
        <f>P67</f>
        <v>2450</v>
      </c>
      <c r="E67" s="36">
        <f>Q67</f>
        <v>2450</v>
      </c>
      <c r="F67" s="36">
        <f>R67</f>
        <v>2450</v>
      </c>
      <c r="G67" s="36">
        <f>S67</f>
        <v>2450</v>
      </c>
      <c r="H67" s="36">
        <f>T67</f>
        <v>2450</v>
      </c>
      <c r="I67" s="36">
        <f>U67</f>
        <v>2450</v>
      </c>
      <c r="J67" s="36">
        <f>V67</f>
        <v>2450</v>
      </c>
      <c r="K67" s="36">
        <f>W67</f>
        <v>2450</v>
      </c>
      <c r="L67" s="36">
        <f>X67</f>
        <v>2450</v>
      </c>
      <c r="M67" s="36">
        <f>Y67</f>
        <v>2450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2450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2450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2450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2450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2450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2450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2450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2450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2450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2450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2450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2450</v>
      </c>
      <c r="Z67" s="46">
        <f>SUMIF($B$13:$Y$13,"Yes",B67:Y67)</f>
        <v>34300</v>
      </c>
      <c r="AA67" s="46">
        <f>SUM(B67:M67)</f>
        <v>29400</v>
      </c>
      <c r="AB67" s="46">
        <f>SUM(B67:Y67)</f>
        <v>58800</v>
      </c>
    </row>
    <row r="68" spans="1:30" hidden="true" outlineLevel="1">
      <c r="A68" s="181" t="str">
        <f>Calculations!$A$5</f>
        <v>Beans</v>
      </c>
      <c r="B68" s="36">
        <f>N68</f>
        <v>3920</v>
      </c>
      <c r="C68" s="36">
        <f>O68</f>
        <v>3920</v>
      </c>
      <c r="D68" s="36">
        <f>P68</f>
        <v>3920</v>
      </c>
      <c r="E68" s="36">
        <f>Q68</f>
        <v>3920</v>
      </c>
      <c r="F68" s="36">
        <f>R68</f>
        <v>0</v>
      </c>
      <c r="G68" s="36">
        <f>S68</f>
        <v>3920</v>
      </c>
      <c r="H68" s="36">
        <f>T68</f>
        <v>3920</v>
      </c>
      <c r="I68" s="36">
        <f>U68</f>
        <v>3920</v>
      </c>
      <c r="J68" s="36">
        <f>V68</f>
        <v>3920</v>
      </c>
      <c r="K68" s="36">
        <f>W68</f>
        <v>3920</v>
      </c>
      <c r="L68" s="36">
        <f>X68</f>
        <v>0</v>
      </c>
      <c r="M68" s="36">
        <f>Y68</f>
        <v>3920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3920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3920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3920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3920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3920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3920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3920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3920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3920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3920</v>
      </c>
      <c r="Z68" s="46">
        <f>SUMIF($B$13:$Y$13,"Yes",B68:Y68)</f>
        <v>47039.99999999999</v>
      </c>
      <c r="AA68" s="46">
        <f>SUM(B68:M68)</f>
        <v>39199.99999999999</v>
      </c>
      <c r="AB68" s="46">
        <f>SUM(B68:Y68)</f>
        <v>78399.99999999999</v>
      </c>
    </row>
    <row r="69" spans="1:30" hidden="true" outlineLevel="1">
      <c r="A69" s="181" t="str">
        <f>Calculations!$A$6</f>
        <v>Maize</v>
      </c>
      <c r="B69" s="36">
        <f>N69</f>
        <v>4704</v>
      </c>
      <c r="C69" s="36">
        <f>O69</f>
        <v>4704</v>
      </c>
      <c r="D69" s="36">
        <f>P69</f>
        <v>0</v>
      </c>
      <c r="E69" s="36">
        <f>Q69</f>
        <v>4704</v>
      </c>
      <c r="F69" s="36">
        <f>R69</f>
        <v>4704</v>
      </c>
      <c r="G69" s="36">
        <f>S69</f>
        <v>4704</v>
      </c>
      <c r="H69" s="36">
        <f>T69</f>
        <v>4704</v>
      </c>
      <c r="I69" s="36">
        <f>U69</f>
        <v>4704</v>
      </c>
      <c r="J69" s="36">
        <f>V69</f>
        <v>0</v>
      </c>
      <c r="K69" s="36">
        <f>W69</f>
        <v>4704</v>
      </c>
      <c r="L69" s="36">
        <f>X69</f>
        <v>4704</v>
      </c>
      <c r="M69" s="36">
        <f>Y69</f>
        <v>4704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4704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4704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4704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4704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4704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4704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4704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4704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4704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4704</v>
      </c>
      <c r="Z69" s="46">
        <f>SUMIF($B$13:$Y$13,"Yes",B69:Y69)</f>
        <v>56448</v>
      </c>
      <c r="AA69" s="46">
        <f>SUM(B69:M69)</f>
        <v>47040</v>
      </c>
      <c r="AB69" s="46">
        <f>SUM(B69:Y69)</f>
        <v>94080</v>
      </c>
    </row>
    <row r="70" spans="1:30" hidden="true" outlineLevel="1">
      <c r="A70" s="181" t="str">
        <f>Calculations!$A$7</f>
        <v>Coffee</v>
      </c>
      <c r="B70" s="36">
        <f>N70</f>
        <v>2041.666666666667</v>
      </c>
      <c r="C70" s="36">
        <f>O70</f>
        <v>2041.666666666667</v>
      </c>
      <c r="D70" s="36">
        <f>P70</f>
        <v>2041.666666666667</v>
      </c>
      <c r="E70" s="36">
        <f>Q70</f>
        <v>2041.666666666667</v>
      </c>
      <c r="F70" s="36">
        <f>R70</f>
        <v>2041.666666666667</v>
      </c>
      <c r="G70" s="36">
        <f>S70</f>
        <v>2041.666666666667</v>
      </c>
      <c r="H70" s="36">
        <f>T70</f>
        <v>2041.666666666667</v>
      </c>
      <c r="I70" s="36">
        <f>U70</f>
        <v>2041.666666666667</v>
      </c>
      <c r="J70" s="36">
        <f>V70</f>
        <v>2041.666666666667</v>
      </c>
      <c r="K70" s="36">
        <f>W70</f>
        <v>2041.666666666667</v>
      </c>
      <c r="L70" s="36">
        <f>X70</f>
        <v>2041.666666666667</v>
      </c>
      <c r="M70" s="36">
        <f>Y70</f>
        <v>2041.666666666667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2041.666666666667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2041.666666666667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2041.666666666667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2041.666666666667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2041.666666666667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2041.666666666667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2041.666666666667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2041.666666666667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2041.666666666667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2041.666666666667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2041.666666666667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2041.666666666667</v>
      </c>
      <c r="Z70" s="46">
        <f>SUMIF($B$13:$Y$13,"Yes",B70:Y70)</f>
        <v>28583.33333333334</v>
      </c>
      <c r="AA70" s="46">
        <f>SUM(B70:M70)</f>
        <v>24500</v>
      </c>
      <c r="AB70" s="46">
        <f>SUM(B70:Y70)</f>
        <v>48999.99999999999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67746.22531296224</v>
      </c>
      <c r="C81" s="46">
        <f>(SUM($AA$18:$AA$29)-SUM($AA$36,$AA$42,$AA$48,$AA$54,$AA$60,$AA$66,$AA$72:$AA$79))*Parameters!$B$37/12</f>
        <v>67746.22531296224</v>
      </c>
      <c r="D81" s="46">
        <f>(SUM($AA$18:$AA$29)-SUM($AA$36,$AA$42,$AA$48,$AA$54,$AA$60,$AA$66,$AA$72:$AA$79))*Parameters!$B$37/12</f>
        <v>67746.22531296224</v>
      </c>
      <c r="E81" s="46">
        <f>(SUM($AA$18:$AA$29)-SUM($AA$36,$AA$42,$AA$48,$AA$54,$AA$60,$AA$66,$AA$72:$AA$79))*Parameters!$B$37/12</f>
        <v>67746.22531296224</v>
      </c>
      <c r="F81" s="46">
        <f>(SUM($AA$18:$AA$29)-SUM($AA$36,$AA$42,$AA$48,$AA$54,$AA$60,$AA$66,$AA$72:$AA$79))*Parameters!$B$37/12</f>
        <v>67746.22531296224</v>
      </c>
      <c r="G81" s="46">
        <f>(SUM($AA$18:$AA$29)-SUM($AA$36,$AA$42,$AA$48,$AA$54,$AA$60,$AA$66,$AA$72:$AA$79))*Parameters!$B$37/12</f>
        <v>67746.22531296224</v>
      </c>
      <c r="H81" s="46">
        <f>(SUM($AA$18:$AA$29)-SUM($AA$36,$AA$42,$AA$48,$AA$54,$AA$60,$AA$66,$AA$72:$AA$79))*Parameters!$B$37/12</f>
        <v>67746.22531296224</v>
      </c>
      <c r="I81" s="46">
        <f>(SUM($AA$18:$AA$29)-SUM($AA$36,$AA$42,$AA$48,$AA$54,$AA$60,$AA$66,$AA$72:$AA$79))*Parameters!$B$37/12</f>
        <v>67746.22531296224</v>
      </c>
      <c r="J81" s="46">
        <f>(SUM($AA$18:$AA$29)-SUM($AA$36,$AA$42,$AA$48,$AA$54,$AA$60,$AA$66,$AA$72:$AA$79))*Parameters!$B$37/12</f>
        <v>67746.22531296224</v>
      </c>
      <c r="K81" s="46">
        <f>(SUM($AA$18:$AA$29)-SUM($AA$36,$AA$42,$AA$48,$AA$54,$AA$60,$AA$66,$AA$72:$AA$79))*Parameters!$B$37/12</f>
        <v>67746.22531296224</v>
      </c>
      <c r="L81" s="46">
        <f>(SUM($AA$18:$AA$29)-SUM($AA$36,$AA$42,$AA$48,$AA$54,$AA$60,$AA$66,$AA$72:$AA$79))*Parameters!$B$37/12</f>
        <v>67746.22531296224</v>
      </c>
      <c r="M81" s="46">
        <f>(SUM($AA$18:$AA$29)-SUM($AA$36,$AA$42,$AA$48,$AA$54,$AA$60,$AA$66,$AA$72:$AA$79))*Parameters!$B$37/12</f>
        <v>67746.22531296224</v>
      </c>
      <c r="N81" s="46">
        <f>(SUM($AA$18:$AA$29)-SUM($AA$36,$AA$42,$AA$48,$AA$54,$AA$60,$AA$66,$AA$72:$AA$79))*Parameters!$B$37/12</f>
        <v>67746.22531296224</v>
      </c>
      <c r="O81" s="46">
        <f>(SUM($AA$18:$AA$29)-SUM($AA$36,$AA$42,$AA$48,$AA$54,$AA$60,$AA$66,$AA$72:$AA$79))*Parameters!$B$37/12</f>
        <v>67746.22531296224</v>
      </c>
      <c r="P81" s="46">
        <f>(SUM($AA$18:$AA$29)-SUM($AA$36,$AA$42,$AA$48,$AA$54,$AA$60,$AA$66,$AA$72:$AA$79))*Parameters!$B$37/12</f>
        <v>67746.22531296224</v>
      </c>
      <c r="Q81" s="46">
        <f>(SUM($AA$18:$AA$29)-SUM($AA$36,$AA$42,$AA$48,$AA$54,$AA$60,$AA$66,$AA$72:$AA$79))*Parameters!$B$37/12</f>
        <v>67746.22531296224</v>
      </c>
      <c r="R81" s="46">
        <f>(SUM($AA$18:$AA$29)-SUM($AA$36,$AA$42,$AA$48,$AA$54,$AA$60,$AA$66,$AA$72:$AA$79))*Parameters!$B$37/12</f>
        <v>67746.22531296224</v>
      </c>
      <c r="S81" s="46">
        <f>(SUM($AA$18:$AA$29)-SUM($AA$36,$AA$42,$AA$48,$AA$54,$AA$60,$AA$66,$AA$72:$AA$79))*Parameters!$B$37/12</f>
        <v>67746.22531296224</v>
      </c>
      <c r="T81" s="46">
        <f>(SUM($AA$18:$AA$29)-SUM($AA$36,$AA$42,$AA$48,$AA$54,$AA$60,$AA$66,$AA$72:$AA$79))*Parameters!$B$37/12</f>
        <v>67746.22531296224</v>
      </c>
      <c r="U81" s="46">
        <f>(SUM($AA$18:$AA$29)-SUM($AA$36,$AA$42,$AA$48,$AA$54,$AA$60,$AA$66,$AA$72:$AA$79))*Parameters!$B$37/12</f>
        <v>67746.22531296224</v>
      </c>
      <c r="V81" s="46">
        <f>(SUM($AA$18:$AA$29)-SUM($AA$36,$AA$42,$AA$48,$AA$54,$AA$60,$AA$66,$AA$72:$AA$79))*Parameters!$B$37/12</f>
        <v>67746.22531296224</v>
      </c>
      <c r="W81" s="46">
        <f>(SUM($AA$18:$AA$29)-SUM($AA$36,$AA$42,$AA$48,$AA$54,$AA$60,$AA$66,$AA$72:$AA$79))*Parameters!$B$37/12</f>
        <v>67746.22531296224</v>
      </c>
      <c r="X81" s="46">
        <f>(SUM($AA$18:$AA$29)-SUM($AA$36,$AA$42,$AA$48,$AA$54,$AA$60,$AA$66,$AA$72:$AA$79))*Parameters!$B$37/12</f>
        <v>67746.22531296224</v>
      </c>
      <c r="Y81" s="46">
        <f>(SUM($AA$18:$AA$29)-SUM($AA$36,$AA$42,$AA$48,$AA$54,$AA$60,$AA$66,$AA$72:$AA$79))*Parameters!$B$37/12</f>
        <v>67746.22531296224</v>
      </c>
      <c r="Z81" s="46">
        <f>SUMIF($B$13:$Y$13,"Yes",B81:Y81)</f>
        <v>948447.1543814711</v>
      </c>
      <c r="AA81" s="46">
        <f>SUM(B81:M81)</f>
        <v>812954.7037555467</v>
      </c>
      <c r="AB81" s="46">
        <f>SUM(B81:Y81)</f>
        <v>1625909.407511093</v>
      </c>
    </row>
    <row r="82" spans="1:30">
      <c r="A82" s="16" t="s">
        <v>52</v>
      </c>
      <c r="B82" s="46">
        <f>SUM(B83:B87)</f>
        <v>5500</v>
      </c>
      <c r="C82" s="46">
        <f>SUM(C83:C87)</f>
        <v>5500</v>
      </c>
      <c r="D82" s="46">
        <f>SUM(D83:D87)</f>
        <v>5500</v>
      </c>
      <c r="E82" s="46">
        <f>SUM(E83:E87)</f>
        <v>5500</v>
      </c>
      <c r="F82" s="46">
        <f>SUM(F83:F87)</f>
        <v>5500</v>
      </c>
      <c r="G82" s="46">
        <f>SUM(G83:G87)</f>
        <v>5500</v>
      </c>
      <c r="H82" s="46">
        <f>SUM(H83:H87)</f>
        <v>5500</v>
      </c>
      <c r="I82" s="46">
        <f>SUM(I83:I87)</f>
        <v>5500</v>
      </c>
      <c r="J82" s="46">
        <f>SUM(J83:J87)</f>
        <v>5500</v>
      </c>
      <c r="K82" s="46">
        <f>SUM(K83:K87)</f>
        <v>5500</v>
      </c>
      <c r="L82" s="46">
        <f>SUM(L83:L87)</f>
        <v>5500</v>
      </c>
      <c r="M82" s="46">
        <f>SUM(M83:M87)</f>
        <v>5500</v>
      </c>
      <c r="N82" s="46">
        <f>SUM(N83:N87)</f>
        <v>5500</v>
      </c>
      <c r="O82" s="46">
        <f>SUM(O83:O87)</f>
        <v>5500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77000</v>
      </c>
      <c r="AA82" s="46">
        <f>SUM(B82:M82)</f>
        <v>66000</v>
      </c>
      <c r="AB82" s="46">
        <f>SUM(B82:Y82)</f>
        <v>77000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5500</v>
      </c>
      <c r="C86" s="46">
        <f>IF(Calculations!$E26&gt;COUNT(Output!$B$35:C$35),Calculations!$B26,IF(Calculations!$E26=COUNT(Output!$B$35:C$35),Inputs!$B59-Calculations!$C26*(Calculations!$E26-1)+Calculations!$D26,0))</f>
        <v>5500</v>
      </c>
      <c r="D86" s="46">
        <f>IF(Calculations!$E26&gt;COUNT(Output!$B$35:D$35),Calculations!$B26,IF(Calculations!$E26=COUNT(Output!$B$35:D$35),Inputs!$B59-Calculations!$C26*(Calculations!$E26-1)+Calculations!$D26,0))</f>
        <v>5500</v>
      </c>
      <c r="E86" s="46">
        <f>IF(Calculations!$E26&gt;COUNT(Output!$B$35:E$35),Calculations!$B26,IF(Calculations!$E26=COUNT(Output!$B$35:E$35),Inputs!$B59-Calculations!$C26*(Calculations!$E26-1)+Calculations!$D26,0))</f>
        <v>5500</v>
      </c>
      <c r="F86" s="46">
        <f>IF(Calculations!$E26&gt;COUNT(Output!$B$35:F$35),Calculations!$B26,IF(Calculations!$E26=COUNT(Output!$B$35:F$35),Inputs!$B59-Calculations!$C26*(Calculations!$E26-1)+Calculations!$D26,0))</f>
        <v>5500</v>
      </c>
      <c r="G86" s="46">
        <f>IF(Calculations!$E26&gt;COUNT(Output!$B$35:G$35),Calculations!$B26,IF(Calculations!$E26=COUNT(Output!$B$35:G$35),Inputs!$B59-Calculations!$C26*(Calculations!$E26-1)+Calculations!$D26,0))</f>
        <v>5500</v>
      </c>
      <c r="H86" s="46">
        <f>IF(Calculations!$E26&gt;COUNT(Output!$B$35:H$35),Calculations!$B26,IF(Calculations!$E26=COUNT(Output!$B$35:H$35),Inputs!$B59-Calculations!$C26*(Calculations!$E26-1)+Calculations!$D26,0))</f>
        <v>5500</v>
      </c>
      <c r="I86" s="46">
        <f>IF(Calculations!$E26&gt;COUNT(Output!$B$35:I$35),Calculations!$B26,IF(Calculations!$E26=COUNT(Output!$B$35:I$35),Inputs!$B59-Calculations!$C26*(Calculations!$E26-1)+Calculations!$D26,0))</f>
        <v>5500</v>
      </c>
      <c r="J86" s="46">
        <f>IF(Calculations!$E26&gt;COUNT(Output!$B$35:J$35),Calculations!$B26,IF(Calculations!$E26=COUNT(Output!$B$35:J$35),Inputs!$B59-Calculations!$C26*(Calculations!$E26-1)+Calculations!$D26,0))</f>
        <v>5500</v>
      </c>
      <c r="K86" s="46">
        <f>IF(Calculations!$E26&gt;COUNT(Output!$B$35:K$35),Calculations!$B26,IF(Calculations!$E26=COUNT(Output!$B$35:K$35),Inputs!$B59-Calculations!$C26*(Calculations!$E26-1)+Calculations!$D26,0))</f>
        <v>5500</v>
      </c>
      <c r="L86" s="46">
        <f>IF(Calculations!$E26&gt;COUNT(Output!$B$35:L$35),Calculations!$B26,IF(Calculations!$E26=COUNT(Output!$B$35:L$35),Inputs!$B59-Calculations!$C26*(Calculations!$E26-1)+Calculations!$D26,0))</f>
        <v>5500</v>
      </c>
      <c r="M86" s="46">
        <f>IF(Calculations!$E26&gt;COUNT(Output!$B$35:M$35),Calculations!$B26,IF(Calculations!$E26=COUNT(Output!$B$35:M$35),Inputs!$B59-Calculations!$C26*(Calculations!$E26-1)+Calculations!$D26,0))</f>
        <v>5500</v>
      </c>
      <c r="N86" s="46">
        <f>IF(Calculations!$E26&gt;COUNT(Output!$B$35:N$35),Calculations!$B26,IF(Calculations!$E26=COUNT(Output!$B$35:N$35),Inputs!$B59-Calculations!$C26*(Calculations!$E26-1)+Calculations!$D26,0))</f>
        <v>5500</v>
      </c>
      <c r="O86" s="46">
        <f>IF(Calculations!$E26&gt;COUNT(Output!$B$35:O$35),Calculations!$B26,IF(Calculations!$E26=COUNT(Output!$B$35:O$35),Inputs!$B59-Calculations!$C26*(Calculations!$E26-1)+Calculations!$D26,0))</f>
        <v>5500</v>
      </c>
      <c r="P86" s="46" t="str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77000</v>
      </c>
      <c r="AA86" s="46">
        <f>SUM(B86:M86)</f>
        <v>66000</v>
      </c>
      <c r="AB86" s="46">
        <f>SUM(B86:Y86)</f>
        <v>77000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106695.2253129622</v>
      </c>
      <c r="C88" s="19">
        <f>SUM(C72:C82,C66,C60,C54,C48,C42,C36)</f>
        <v>112695.2253129622</v>
      </c>
      <c r="D88" s="19">
        <f>SUM(D72:D82,D66,D60,D54,D48,D42,D36)</f>
        <v>101991.2253129622</v>
      </c>
      <c r="E88" s="19">
        <f>SUM(E72:E82,E66,E60,E54,E48,E42,E36)</f>
        <v>114907.2253129622</v>
      </c>
      <c r="F88" s="19">
        <f>SUM(F72:F82,F66,F60,F54,F48,F42,F36)</f>
        <v>102775.2253129622</v>
      </c>
      <c r="G88" s="19">
        <f>SUM(G72:G82,G66,G60,G54,G48,G42,G36)</f>
        <v>115695.2253129622</v>
      </c>
      <c r="H88" s="19">
        <f>SUM(H72:H82,H66,H60,H54,H48,H42,H36)</f>
        <v>106695.2253129622</v>
      </c>
      <c r="I88" s="19">
        <f>SUM(I72:I82,I66,I60,I54,I48,I42,I36)</f>
        <v>112695.2253129622</v>
      </c>
      <c r="J88" s="19">
        <f>SUM(J72:J82,J66,J60,J54,J48,J42,J36)</f>
        <v>101991.2253129622</v>
      </c>
      <c r="K88" s="19">
        <f>SUM(K72:K82,K66,K60,K54,K48,K42,K36)</f>
        <v>114907.2253129622</v>
      </c>
      <c r="L88" s="19">
        <f>SUM(L72:L82,L66,L60,L54,L48,L42,L36)</f>
        <v>106775.2253129622</v>
      </c>
      <c r="M88" s="19">
        <f>SUM(M72:M82,M66,M60,M54,M48,M42,M36)</f>
        <v>115695.2253129622</v>
      </c>
      <c r="N88" s="19">
        <f>SUM(N72:N82,N66,N60,N54,N48,N42,N36)</f>
        <v>106695.2253129622</v>
      </c>
      <c r="O88" s="19">
        <f>SUM(O72:O82,O66,O60,O54,O48,O42,O36)</f>
        <v>112695.2253129622</v>
      </c>
      <c r="P88" s="19">
        <f>SUM(P72:P82,P66,P60,P54,P48,P42,P36)</f>
        <v>96491.22531296224</v>
      </c>
      <c r="Q88" s="19">
        <f>SUM(Q72:Q82,Q66,Q60,Q54,Q48,Q42,Q36)</f>
        <v>109407.2253129622</v>
      </c>
      <c r="R88" s="19">
        <f>SUM(R72:R82,R66,R60,R54,R48,R42,R36)</f>
        <v>97275.22531296224</v>
      </c>
      <c r="S88" s="19">
        <f>SUM(S72:S82,S66,S60,S54,S48,S42,S36)</f>
        <v>110195.2253129622</v>
      </c>
      <c r="T88" s="19">
        <f>SUM(T72:T82,T66,T60,T54,T48,T42,T36)</f>
        <v>101195.2253129622</v>
      </c>
      <c r="U88" s="19">
        <f>SUM(U72:U82,U66,U60,U54,U48,U42,U36)</f>
        <v>107195.2253129622</v>
      </c>
      <c r="V88" s="19">
        <f>SUM(V72:V82,V66,V60,V54,V48,V42,V36)</f>
        <v>96491.22531296224</v>
      </c>
      <c r="W88" s="19">
        <f>SUM(W72:W82,W66,W60,W54,W48,W42,W36)</f>
        <v>109407.2253129622</v>
      </c>
      <c r="X88" s="19">
        <f>SUM(X72:X82,X66,X60,X54,X48,X42,X36)</f>
        <v>101275.2253129622</v>
      </c>
      <c r="Y88" s="19">
        <f>SUM(Y72:Y82,Y66,Y60,Y54,Y48,Y42,Y36)</f>
        <v>110195.2253129622</v>
      </c>
      <c r="Z88" s="19">
        <f>SUMIF($B$13:$Y$13,"Yes",B88:Y88)</f>
        <v>1532909.154381471</v>
      </c>
      <c r="AA88" s="19">
        <f>SUM(B88:M88)</f>
        <v>1313518.703755547</v>
      </c>
      <c r="AB88" s="19">
        <f>SUM(B88:Y88)</f>
        <v>2572037.407511093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64500000</v>
      </c>
    </row>
    <row r="98" spans="1:30">
      <c r="A98" t="s">
        <v>64</v>
      </c>
      <c r="B98" s="36">
        <f>IF(Inputs!B44="Yes",Inputs!B45,0)</f>
        <v>25000000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91200000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80000</v>
      </c>
    </row>
    <row r="106" spans="1:30" customHeight="1" ht="15.75">
      <c r="A106" s="18" t="s">
        <v>71</v>
      </c>
      <c r="B106" s="37">
        <f>Calculations!G35</f>
        <v>550000</v>
      </c>
    </row>
    <row r="107" spans="1:30" customHeight="1" ht="15.75">
      <c r="A107" s="1" t="s">
        <v>72</v>
      </c>
      <c r="B107" s="19">
        <f>SUM(B104:B106)</f>
        <v>650000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97</v>
      </c>
      <c r="G8" s="147"/>
      <c r="H8" s="147" t="s">
        <v>98</v>
      </c>
      <c r="I8" s="147" t="s">
        <v>93</v>
      </c>
      <c r="J8" s="148" t="s">
        <v>99</v>
      </c>
      <c r="K8" s="138"/>
      <c r="L8" s="16"/>
      <c r="M8" s="165">
        <v>5</v>
      </c>
      <c r="N8" s="154">
        <v>0</v>
      </c>
    </row>
    <row r="9" spans="1:48">
      <c r="A9" s="143" t="s">
        <v>100</v>
      </c>
      <c r="B9" s="16"/>
      <c r="C9" s="143">
        <v>4</v>
      </c>
      <c r="D9" s="16"/>
      <c r="E9" s="147" t="s">
        <v>101</v>
      </c>
      <c r="F9" s="149" t="s">
        <v>102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</v>
      </c>
      <c r="N9" s="154">
        <v>0</v>
      </c>
    </row>
    <row r="10" spans="1:48">
      <c r="A10" s="143" t="s">
        <v>103</v>
      </c>
      <c r="B10" s="16"/>
      <c r="C10" s="143">
        <v>2</v>
      </c>
      <c r="D10" s="16"/>
      <c r="E10" s="147" t="s">
        <v>101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/>
      <c r="L10" s="16"/>
      <c r="M10" s="165">
        <v>0</v>
      </c>
      <c r="N10" s="154">
        <v>1</v>
      </c>
    </row>
    <row r="11" spans="1:48">
      <c r="A11" s="144" t="s">
        <v>104</v>
      </c>
      <c r="B11" s="23"/>
      <c r="C11" s="144">
        <v>2</v>
      </c>
      <c r="D11" s="23"/>
      <c r="E11" s="150" t="s">
        <v>105</v>
      </c>
      <c r="F11" s="151" t="s">
        <v>91</v>
      </c>
      <c r="G11" s="150"/>
      <c r="H11" s="150" t="s">
        <v>98</v>
      </c>
      <c r="I11" s="150" t="s">
        <v>93</v>
      </c>
      <c r="J11" s="152" t="s">
        <v>106</v>
      </c>
      <c r="K11" s="119"/>
      <c r="L11" s="23"/>
      <c r="M11" s="167">
        <v>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108</v>
      </c>
      <c r="B18" s="10" t="s">
        <v>109</v>
      </c>
      <c r="C18" s="10" t="s">
        <v>110</v>
      </c>
      <c r="D18" s="10" t="s">
        <v>111</v>
      </c>
      <c r="E18" s="10" t="s">
        <v>112</v>
      </c>
      <c r="F18" s="10" t="s">
        <v>113</v>
      </c>
      <c r="G18" s="10" t="s">
        <v>114</v>
      </c>
      <c r="H18" s="10" t="s">
        <v>115</v>
      </c>
      <c r="I18" s="10" t="s">
        <v>116</v>
      </c>
      <c r="J18" s="10" t="s">
        <v>117</v>
      </c>
      <c r="K18" s="10" t="s">
        <v>118</v>
      </c>
      <c r="L18" s="10" t="s">
        <v>119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30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150000</v>
      </c>
    </row>
    <row r="31" spans="1:48">
      <c r="A31" s="5" t="s">
        <v>126</v>
      </c>
      <c r="B31" s="158">
        <v>20000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98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98</v>
      </c>
    </row>
    <row r="45" spans="1:48">
      <c r="A45" s="56" t="s">
        <v>139</v>
      </c>
      <c r="B45" s="161">
        <v>25000000</v>
      </c>
    </row>
    <row r="46" spans="1:48" customHeight="1" ht="30">
      <c r="A46" s="57" t="s">
        <v>140</v>
      </c>
      <c r="B46" s="161">
        <v>1000000</v>
      </c>
    </row>
    <row r="47" spans="1:48" customHeight="1" ht="30">
      <c r="A47" s="57" t="s">
        <v>141</v>
      </c>
      <c r="B47" s="161">
        <v>500000</v>
      </c>
    </row>
    <row r="48" spans="1:48" customHeight="1" ht="30">
      <c r="A48" s="57" t="s">
        <v>142</v>
      </c>
      <c r="B48" s="161">
        <v>50000</v>
      </c>
    </row>
    <row r="49" spans="1:48" customHeight="1" ht="30">
      <c r="A49" s="57" t="s">
        <v>143</v>
      </c>
      <c r="B49" s="161">
        <v>150000</v>
      </c>
    </row>
    <row r="50" spans="1:48">
      <c r="A50" s="43"/>
      <c r="B50" s="36"/>
    </row>
    <row r="51" spans="1:48">
      <c r="A51" s="58" t="s">
        <v>144</v>
      </c>
      <c r="B51" s="161">
        <v>20000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>
        <v>4500000</v>
      </c>
      <c r="B56" s="159">
        <v>0</v>
      </c>
      <c r="C56" s="162" t="s">
        <v>152</v>
      </c>
      <c r="D56" s="163" t="s">
        <v>153</v>
      </c>
      <c r="E56" s="163" t="s">
        <v>92</v>
      </c>
      <c r="F56" s="163" t="s">
        <v>154</v>
      </c>
    </row>
    <row r="57" spans="1:48">
      <c r="A57" s="157">
        <v>810000</v>
      </c>
      <c r="B57" s="157">
        <v>0</v>
      </c>
      <c r="C57" s="164" t="s">
        <v>155</v>
      </c>
      <c r="D57" s="165" t="s">
        <v>153</v>
      </c>
      <c r="E57" s="165" t="s">
        <v>98</v>
      </c>
      <c r="F57" s="165" t="s">
        <v>156</v>
      </c>
    </row>
    <row r="58" spans="1:48">
      <c r="A58" s="157">
        <v>312000</v>
      </c>
      <c r="B58" s="157">
        <v>0</v>
      </c>
      <c r="C58" s="164" t="s">
        <v>157</v>
      </c>
      <c r="D58" s="165" t="s">
        <v>158</v>
      </c>
      <c r="E58" s="165" t="s">
        <v>98</v>
      </c>
      <c r="F58" s="165" t="s">
        <v>154</v>
      </c>
    </row>
    <row r="59" spans="1:48">
      <c r="A59" s="157">
        <v>300000</v>
      </c>
      <c r="B59" s="157">
        <v>80000</v>
      </c>
      <c r="C59" s="164" t="s">
        <v>159</v>
      </c>
      <c r="D59" s="165" t="s">
        <v>160</v>
      </c>
      <c r="E59" s="165" t="s">
        <v>98</v>
      </c>
      <c r="F59" s="165" t="s">
        <v>161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163</v>
      </c>
      <c r="C65" s="10" t="s">
        <v>164</v>
      </c>
    </row>
    <row r="66" spans="1:48">
      <c r="A66" s="142" t="s">
        <v>165</v>
      </c>
      <c r="B66" s="159">
        <v>639000</v>
      </c>
      <c r="C66" s="163">
        <v>584140</v>
      </c>
      <c r="D66" s="49">
        <f>INDEX(Parameters!$D$79:$D$90,MATCH(Inputs!A66,Parameters!$C$79:$C$90,0))</f>
        <v>4</v>
      </c>
    </row>
    <row r="67" spans="1:48">
      <c r="A67" s="143" t="s">
        <v>99</v>
      </c>
      <c r="B67" s="157">
        <v>446124</v>
      </c>
      <c r="C67" s="165">
        <v>380410</v>
      </c>
      <c r="D67" s="49">
        <f>INDEX(Parameters!$D$79:$D$90,MATCH(Inputs!A67,Parameters!$C$79:$C$90,0))</f>
        <v>3</v>
      </c>
    </row>
    <row r="68" spans="1:48">
      <c r="A68" s="143" t="s">
        <v>106</v>
      </c>
      <c r="B68" s="157">
        <v>602145</v>
      </c>
      <c r="C68" s="165">
        <v>550410</v>
      </c>
      <c r="D68" s="49">
        <f>INDEX(Parameters!$D$79:$D$90,MATCH(Inputs!A68,Parameters!$C$79:$C$90,0))</f>
        <v>2</v>
      </c>
    </row>
    <row r="69" spans="1:48">
      <c r="A69" s="143" t="s">
        <v>94</v>
      </c>
      <c r="B69" s="157">
        <v>723514</v>
      </c>
      <c r="C69" s="165">
        <v>672514</v>
      </c>
      <c r="D69" s="49">
        <f>INDEX(Parameters!$D$79:$D$90,MATCH(Inputs!A69,Parameters!$C$79:$C$90,0))</f>
        <v>1</v>
      </c>
    </row>
    <row r="70" spans="1:48">
      <c r="A70" s="143" t="s">
        <v>166</v>
      </c>
      <c r="B70" s="157">
        <v>450124</v>
      </c>
      <c r="C70" s="165">
        <v>380100</v>
      </c>
      <c r="D70" s="49">
        <f>INDEX(Parameters!$D$79:$D$90,MATCH(Inputs!A70,Parameters!$C$79:$C$90,0))</f>
        <v>12</v>
      </c>
    </row>
    <row r="71" spans="1:48">
      <c r="A71" s="144" t="s">
        <v>167</v>
      </c>
      <c r="B71" s="158">
        <v>460210</v>
      </c>
      <c r="C71" s="167">
        <v>412100</v>
      </c>
      <c r="D71" s="49">
        <f>INDEX(Parameters!$D$79:$D$90,MATCH(Inputs!A71,Parameters!$C$79:$C$90,0))</f>
        <v>11</v>
      </c>
    </row>
    <row r="73" spans="1:48">
      <c r="A73" s="3" t="s">
        <v>168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169</v>
      </c>
      <c r="B75" s="161">
        <v>13</v>
      </c>
    </row>
    <row r="76" spans="1:48">
      <c r="A76" t="s">
        <v>170</v>
      </c>
      <c r="B76" s="168" t="s">
        <v>171</v>
      </c>
    </row>
    <row r="78" spans="1:48" customHeight="1" ht="20.25">
      <c r="B78" s="127" t="s">
        <v>172</v>
      </c>
    </row>
    <row r="79" spans="1:48">
      <c r="A79" t="s">
        <v>173</v>
      </c>
      <c r="B79" s="168" t="s">
        <v>174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175</v>
      </c>
      <c r="B80" s="168" t="s">
        <v>176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177</v>
      </c>
      <c r="B81" s="161">
        <v>550000</v>
      </c>
    </row>
    <row r="82" spans="1:48">
      <c r="A82" t="s">
        <v>178</v>
      </c>
      <c r="B82" s="161">
        <v>18</v>
      </c>
    </row>
    <row r="83" spans="1:48">
      <c r="A83" t="s">
        <v>179</v>
      </c>
      <c r="B83" s="169" t="s">
        <v>180</v>
      </c>
    </row>
    <row r="84" spans="1:48">
      <c r="A84" t="s">
        <v>181</v>
      </c>
      <c r="B84" s="169">
        <v>1</v>
      </c>
    </row>
    <row r="85" spans="1:48">
      <c r="A85" t="s">
        <v>182</v>
      </c>
      <c r="B85" s="169">
        <v>12</v>
      </c>
    </row>
    <row r="86" spans="1:48">
      <c r="A86" t="s">
        <v>183</v>
      </c>
      <c r="B86" s="161"/>
    </row>
    <row r="87" spans="1:48">
      <c r="A87" t="s">
        <v>184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185</v>
      </c>
      <c r="C3" s="15" t="s">
        <v>186</v>
      </c>
      <c r="D3" s="15" t="s">
        <v>187</v>
      </c>
      <c r="E3" s="15" t="s">
        <v>188</v>
      </c>
      <c r="F3" s="15" t="s">
        <v>189</v>
      </c>
      <c r="G3" s="15" t="s">
        <v>190</v>
      </c>
      <c r="H3" s="15" t="s">
        <v>191</v>
      </c>
      <c r="I3" s="15" t="s">
        <v>192</v>
      </c>
      <c r="J3" s="15" t="s">
        <v>193</v>
      </c>
      <c r="K3" s="15" t="s">
        <v>194</v>
      </c>
      <c r="L3" s="15" t="s">
        <v>195</v>
      </c>
      <c r="M3" s="15" t="s">
        <v>196</v>
      </c>
      <c r="N3" s="15" t="s">
        <v>197</v>
      </c>
      <c r="O3" s="15" t="s">
        <v>198</v>
      </c>
      <c r="P3" s="15" t="s">
        <v>199</v>
      </c>
      <c r="Q3" s="32" t="s">
        <v>200</v>
      </c>
      <c r="R3" s="15" t="s">
        <v>201</v>
      </c>
      <c r="S3" s="15" t="s">
        <v>202</v>
      </c>
      <c r="T3" s="15" t="s">
        <v>203</v>
      </c>
      <c r="U3" s="178" t="s">
        <v>87</v>
      </c>
      <c r="V3" s="32" t="s">
        <v>204</v>
      </c>
      <c r="W3" s="32" t="s">
        <v>205</v>
      </c>
      <c r="X3" s="32" t="s">
        <v>206</v>
      </c>
      <c r="Y3" s="32" t="s">
        <v>207</v>
      </c>
      <c r="Z3" s="32" t="s">
        <v>43</v>
      </c>
      <c r="AA3" s="32" t="s">
        <v>208</v>
      </c>
      <c r="AB3" s="32" t="s">
        <v>209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Onions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2631.419622147398</v>
      </c>
      <c r="M4" s="25">
        <f>L4*H4</f>
        <v>5262.839244294795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56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559966.0955929662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287.6945761965671</v>
      </c>
      <c r="M5" s="30">
        <f>L5*H5</f>
        <v>575.3891523931343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26784.3650439004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43160</v>
      </c>
      <c r="D6" s="39">
        <f>IFERROR(DATE(YEAR(B6),MONTH(B6)+T6,DAY(B6)),"")</f>
        <v>43221</v>
      </c>
      <c r="E6" s="39">
        <f>IFERROR(IF($S6=0,"",IF($S6=2,DATE(YEAR(B6),MONTH(B6)+6,DAY(B6)),IF($S6=1,B6,""))),"")</f>
        <v>43282</v>
      </c>
      <c r="F6" s="39">
        <f>IFERROR(IF($S6=0,"",IF($S6=2,DATE(YEAR(C6),MONTH(C6)+6,DAY(C6)),IF($S6=1,C6,""))),"")</f>
        <v>43344</v>
      </c>
      <c r="G6" s="39">
        <f>IFERROR(IF($S6=0,"",IF($S6=2,DATE(YEAR(D6),MONTH(D6)+6,DAY(D6)),IF($S6=1,D6,""))),"")</f>
        <v>43405</v>
      </c>
      <c r="H6" s="16">
        <f>Inputs!C9</f>
        <v>4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465</v>
      </c>
      <c r="M6" s="30">
        <f>L6*H6</f>
        <v>1860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70308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1212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33600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Coffee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43101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2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150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110.40512</v>
      </c>
      <c r="M7" s="30">
        <f>L7*H7</f>
        <v>220.81024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44.8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9892.298751999999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N/A</v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4000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35000</v>
      </c>
      <c r="AC7" s="22">
        <f>IF($A7=0,1/12,IFERROR(INDEX(Parameters!$X$2:$AI$17,MATCH(Calculations!$A7,Parameters!$A$2:$A$17,0),MONTH(Calculations!AC$3)),1/12))</f>
        <v>0.05128205128205128</v>
      </c>
      <c r="AD7" s="22">
        <f>IF($A7=0,1/12,IFERROR(INDEX(Parameters!$X$2:$AI$17,MATCH(Calculations!$A7,Parameters!$A$2:$A$17,0),MONTH(Calculations!AD$3)),1/12))</f>
        <v>0</v>
      </c>
      <c r="AE7" s="22">
        <f>IF($A7=0,1/12,IFERROR(INDEX(Parameters!$X$2:$AI$17,MATCH(Calculations!$A7,Parameters!$A$2:$A$17,0),MONTH(Calculations!AE$3)),1/12))</f>
        <v>0.1282051282051282</v>
      </c>
      <c r="AF7" s="22">
        <f>IF($A7=0,1/12,IFERROR(INDEX(Parameters!$X$2:$AI$17,MATCH(Calculations!$A7,Parameters!$A$2:$A$17,0),MONTH(Calculations!AF$3)),1/12))</f>
        <v>0.1282051282051282</v>
      </c>
      <c r="AG7" s="22">
        <f>IF($A7=0,1/12,IFERROR(INDEX(Parameters!$X$2:$AI$17,MATCH(Calculations!$A7,Parameters!$A$2:$A$17,0),MONTH(Calculations!AG$3)),1/12))</f>
        <v>0.05128205128205128</v>
      </c>
      <c r="AH7" s="22">
        <f>IF($A7=0,1/12,IFERROR(INDEX(Parameters!$X$2:$AI$17,MATCH(Calculations!$A7,Parameters!$A$2:$A$17,0),MONTH(Calculations!AH$3)),1/12))</f>
        <v>0</v>
      </c>
      <c r="AI7" s="22">
        <f>IF($A7=0,1/12,IFERROR(INDEX(Parameters!$X$2:$AI$17,MATCH(Calculations!$A7,Parameters!$A$2:$A$17,0),MONTH(Calculations!AI$3)),1/12))</f>
        <v>0.05128205128205128</v>
      </c>
      <c r="AJ7" s="22">
        <f>IF($A7=0,1/12,IFERROR(INDEX(Parameters!$X$2:$AI$17,MATCH(Calculations!$A7,Parameters!$A$2:$A$17,0),MONTH(Calculations!AJ$3)),1/12))</f>
        <v>0.1025641025641026</v>
      </c>
      <c r="AK7" s="22">
        <f>IF($A7=0,1/12,IFERROR(INDEX(Parameters!$X$2:$AI$17,MATCH(Calculations!$A7,Parameters!$A$2:$A$17,0),MONTH(Calculations!AK$3)),1/12))</f>
        <v>0.1282051282051282</v>
      </c>
      <c r="AL7" s="22">
        <f>IF($A7=0,1/12,IFERROR(INDEX(Parameters!$X$2:$AI$17,MATCH(Calculations!$A7,Parameters!$A$2:$A$17,0),MONTH(Calculations!AL$3)),1/12))</f>
        <v>0.1282051282051282</v>
      </c>
      <c r="AM7" s="22">
        <f>IF($A7=0,1/12,IFERROR(INDEX(Parameters!$X$2:$AI$17,MATCH(Calculations!$A7,Parameters!$A$2:$A$17,0),MONTH(Calculations!AM$3)),1/12))</f>
        <v>0.1282051282051282</v>
      </c>
      <c r="AN7" s="22">
        <f>IF($A7=0,1/12,IFERROR(INDEX(Parameters!$X$2:$AI$17,MATCH(Calculations!$A7,Parameters!$A$2:$A$17,0),MONTH(Calculations!AN$3)),1/12))</f>
        <v>0.1025641025641026</v>
      </c>
      <c r="AO7" s="22">
        <f>IF($A7=0,1/12,IFERROR(INDEX(Parameters!$X$2:$AI$17,MATCH(Calculations!$A7,Parameters!$A$2:$A$17,0),MONTH(Calculations!AO$3)),1/12))</f>
        <v>0.05128205128205128</v>
      </c>
      <c r="AP7" s="22">
        <f>IF($A7=0,1/12,IFERROR(INDEX(Parameters!$X$2:$AI$17,MATCH(Calculations!$A7,Parameters!$A$2:$A$17,0),MONTH(Calculations!AP$3)),1/12))</f>
        <v>0</v>
      </c>
      <c r="AQ7" s="22">
        <f>IF($A7=0,1/12,IFERROR(INDEX(Parameters!$X$2:$AI$17,MATCH(Calculations!$A7,Parameters!$A$2:$A$17,0),MONTH(Calculations!AQ$3)),1/12))</f>
        <v>0.1282051282051282</v>
      </c>
      <c r="AR7" s="22">
        <f>IF($A7=0,1/12,IFERROR(INDEX(Parameters!$X$2:$AI$17,MATCH(Calculations!$A7,Parameters!$A$2:$A$17,0),MONTH(Calculations!AR$3)),1/12))</f>
        <v>0.1282051282051282</v>
      </c>
      <c r="AS7" s="22">
        <f>IF($A7=0,1/12,IFERROR(INDEX(Parameters!$X$2:$AI$17,MATCH(Calculations!$A7,Parameters!$A$2:$A$17,0),MONTH(Calculations!AS$3)),1/12))</f>
        <v>0.05128205128205128</v>
      </c>
      <c r="AT7" s="22">
        <f>IF($A7=0,1/12,IFERROR(INDEX(Parameters!$X$2:$AI$17,MATCH(Calculations!$A7,Parameters!$A$2:$A$17,0),MONTH(Calculations!AT$3)),1/12))</f>
        <v>0</v>
      </c>
      <c r="AU7" s="22">
        <f>IF($A7=0,1/12,IFERROR(INDEX(Parameters!$X$2:$AI$17,MATCH(Calculations!$A7,Parameters!$A$2:$A$17,0),MONTH(Calculations!AU$3)),1/12))</f>
        <v>0.05128205128205128</v>
      </c>
      <c r="AV7" s="22">
        <f>IF($A7=0,1/12,IFERROR(INDEX(Parameters!$X$2:$AI$17,MATCH(Calculations!$A7,Parameters!$A$2:$A$17,0),MONTH(Calculations!AV$3)),1/12))</f>
        <v>0.1025641025641026</v>
      </c>
      <c r="AW7" s="22">
        <f>IF($A7=0,1/12,IFERROR(INDEX(Parameters!$X$2:$AI$17,MATCH(Calculations!$A7,Parameters!$A$2:$A$17,0),MONTH(Calculations!AW$3)),1/12))</f>
        <v>0.1282051282051282</v>
      </c>
      <c r="AX7" s="22">
        <f>IF($A7=0,1/12,IFERROR(INDEX(Parameters!$X$2:$AI$17,MATCH(Calculations!$A7,Parameters!$A$2:$A$17,0),MONTH(Calculations!AX$3)),1/12))</f>
        <v>0.1282051282051282</v>
      </c>
      <c r="AY7" s="22">
        <f>IF($A7=0,1/12,IFERROR(INDEX(Parameters!$X$2:$AI$17,MATCH(Calculations!$A7,Parameters!$A$2:$A$17,0),MONTH(Calculations!AY$3)),1/12))</f>
        <v>0.1282051282051282</v>
      </c>
      <c r="AZ7" s="22">
        <f>IF($A7=0,1/12,IFERROR(INDEX(Parameters!$X$2:$AI$17,MATCH(Calculations!$A7,Parameters!$A$2:$A$17,0),MONTH(Calculations!AZ$3)),1/12))</f>
        <v>0.1025641025641026</v>
      </c>
    </row>
    <row r="8" spans="1:52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43132</v>
      </c>
      <c r="C8" s="40">
        <f>IFERROR(DATE(YEAR(B8),MONTH(B8)+ROUND(T8/2,0),DAY(B8)),B8)</f>
        <v>43132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2</v>
      </c>
      <c r="I8" s="119" t="str">
        <f>IFERROR(VLOOKUP(Inputs!E11,Parameters!$J$77:$K$81,2,0),"")</f>
        <v>No</v>
      </c>
      <c r="J8" s="28">
        <f>IFERROR(Inputs!G11/Calculations!H8,"")</f>
        <v>0</v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4000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108</v>
      </c>
      <c r="B13" s="15" t="s">
        <v>35</v>
      </c>
      <c r="C13" s="15" t="s">
        <v>210</v>
      </c>
      <c r="D13" s="15" t="s">
        <v>211</v>
      </c>
      <c r="E13" s="15" t="s">
        <v>212</v>
      </c>
      <c r="F13" s="15" t="s">
        <v>213</v>
      </c>
      <c r="G13" s="15" t="s">
        <v>214</v>
      </c>
      <c r="H13" s="15" t="s">
        <v>215</v>
      </c>
      <c r="I13" s="15" t="s">
        <v>216</v>
      </c>
      <c r="J13" s="15" t="s">
        <v>217</v>
      </c>
      <c r="K13" s="15" t="s">
        <v>218</v>
      </c>
      <c r="L13" s="15" t="s">
        <v>219</v>
      </c>
      <c r="M13" s="178" t="s">
        <v>220</v>
      </c>
      <c r="N13" s="178" t="s">
        <v>221</v>
      </c>
      <c r="O13" s="62" t="s">
        <v>222</v>
      </c>
      <c r="P13" s="62" t="s">
        <v>223</v>
      </c>
      <c r="Q13" s="62" t="s">
        <v>224</v>
      </c>
      <c r="R13" s="62" t="s">
        <v>225</v>
      </c>
      <c r="S13" s="62" t="s">
        <v>226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227</v>
      </c>
      <c r="C22" s="74" t="s">
        <v>228</v>
      </c>
      <c r="D22" s="74" t="s">
        <v>229</v>
      </c>
      <c r="E22" s="74" t="s">
        <v>230</v>
      </c>
    </row>
    <row r="23" spans="1:52">
      <c r="A23" s="75">
        <f>Inputs!A56</f>
        <v>4500000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810000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312000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300000</v>
      </c>
      <c r="B26" s="46">
        <f>SUM(C26:D26)</f>
        <v>5500</v>
      </c>
      <c r="C26" s="46" t="str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5500</v>
      </c>
      <c r="E26" s="46">
        <f>IFERROR(ROUNDUP(Inputs!B59/B26,0),0)</f>
        <v>15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232</v>
      </c>
      <c r="B32" s="129" t="s">
        <v>233</v>
      </c>
      <c r="C32" s="129" t="s">
        <v>234</v>
      </c>
      <c r="D32" s="129" t="s">
        <v>235</v>
      </c>
      <c r="F32" s="132" t="s">
        <v>236</v>
      </c>
      <c r="G32" s="132" t="s">
        <v>237</v>
      </c>
      <c r="I32" s="174" t="s">
        <v>238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42898</v>
      </c>
      <c r="C33" s="27">
        <f>IF(B33&lt;&gt;"",IF(COUNT($A$33:A33)&lt;=$G$39,0,$G$41)+IF(COUNT($A$33:A33)&lt;=$G$40,0,$G$42),0)</f>
        <v>54083.33333333334</v>
      </c>
      <c r="D33" s="170">
        <f>IFERROR(DATE(YEAR(B33),MONTH(B33),1)," ")</f>
        <v>42887</v>
      </c>
      <c r="F33" t="s">
        <v>173</v>
      </c>
      <c r="G33" s="128">
        <f>IF(Inputs!B79="","",DATE(YEAR(Inputs!B79),MONTH(Inputs!B79),DAY(Inputs!B79)))</f>
        <v>42859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42928</v>
      </c>
      <c r="C34" s="27">
        <f>IF(B34&lt;&gt;"",IF(COUNT($A$33:A34)&lt;=$G$39,0,$G$41)+IF(COUNT($A$33:A34)&lt;=$G$40,0,$G$42),0)</f>
        <v>54083.33333333334</v>
      </c>
      <c r="D34" s="170">
        <f>IFERROR(DATE(YEAR(B34),MONTH(B34),1)," ")</f>
        <v>42917</v>
      </c>
      <c r="F34" t="s">
        <v>175</v>
      </c>
      <c r="G34" s="128">
        <f>IF(Inputs!B80="","",DATE(YEAR(Inputs!B80),MONTH(Inputs!B80),DAY(Inputs!B80)))</f>
        <v>42898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42959</v>
      </c>
      <c r="C35" s="27">
        <f>IF(B35&lt;&gt;"",IF(COUNT($A$33:A35)&lt;=$G$39,0,$G$41)+IF(COUNT($A$33:A35)&lt;=$G$40,0,$G$42),0)</f>
        <v>54083.33333333334</v>
      </c>
      <c r="D35" s="170">
        <f>IFERROR(DATE(YEAR(B35),MONTH(B35),1)," ")</f>
        <v>42948</v>
      </c>
      <c r="F35" t="s">
        <v>177</v>
      </c>
      <c r="G35" s="27">
        <f>Inputs!B81</f>
        <v>550000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42990</v>
      </c>
      <c r="C36" s="27">
        <f>IF(B36&lt;&gt;"",IF(COUNT($A$33:A36)&lt;=$G$39,0,$G$41)+IF(COUNT($A$33:A36)&lt;=$G$40,0,$G$42),0)</f>
        <v>54083.33333333334</v>
      </c>
      <c r="D36" s="170">
        <f>IFERROR(DATE(YEAR(B36),MONTH(B36),1)," ")</f>
        <v>42979</v>
      </c>
      <c r="F36" t="s">
        <v>178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43020</v>
      </c>
      <c r="C37" s="27">
        <f>IF(B37&lt;&gt;"",IF(COUNT($A$33:A37)&lt;=$G$39,0,$G$41)+IF(COUNT($A$33:A37)&lt;=$G$40,0,$G$42),0)</f>
        <v>54083.33333333334</v>
      </c>
      <c r="D37" s="170">
        <f>IFERROR(DATE(YEAR(B37),MONTH(B37),1)," ")</f>
        <v>43009</v>
      </c>
      <c r="F37" t="s">
        <v>239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43051</v>
      </c>
      <c r="C38" s="27">
        <f>IF(B38&lt;&gt;"",IF(COUNT($A$33:A38)&lt;=$G$39,0,$G$41)+IF(COUNT($A$33:A38)&lt;=$G$40,0,$G$42),0)</f>
        <v>54083.33333333334</v>
      </c>
      <c r="D38" s="170">
        <f>IFERROR(DATE(YEAR(B38),MONTH(B38),1)," ")</f>
        <v>43040</v>
      </c>
      <c r="F38" t="s">
        <v>240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43081</v>
      </c>
      <c r="C39" s="27">
        <f>IF(B39&lt;&gt;"",IF(COUNT($A$33:A39)&lt;=$G$39,0,$G$41)+IF(COUNT($A$33:A39)&lt;=$G$40,0,$G$42),0)</f>
        <v>54083.33333333334</v>
      </c>
      <c r="D39" s="170">
        <f>IFERROR(DATE(YEAR(B39),MONTH(B39),1)," ")</f>
        <v>43070</v>
      </c>
      <c r="F39" t="s">
        <v>183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43112</v>
      </c>
      <c r="C40" s="27">
        <f>IF(B40&lt;&gt;"",IF(COUNT($A$33:A40)&lt;=$G$39,0,$G$41)+IF(COUNT($A$33:A40)&lt;=$G$40,0,$G$42),0)</f>
        <v>54083.33333333334</v>
      </c>
      <c r="D40" s="170">
        <f>IFERROR(DATE(YEAR(B40),MONTH(B40),1)," ")</f>
        <v>43101</v>
      </c>
      <c r="F40" t="s">
        <v>184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43143</v>
      </c>
      <c r="C41" s="27">
        <f>IF(B41&lt;&gt;"",IF(COUNT($A$33:A41)&lt;=$G$39,0,$G$41)+IF(COUNT($A$33:A41)&lt;=$G$40,0,$G$42),0)</f>
        <v>54083.33333333334</v>
      </c>
      <c r="D41" s="170">
        <f>IFERROR(DATE(YEAR(B41),MONTH(B41),1)," ")</f>
        <v>43132</v>
      </c>
      <c r="F41" t="s">
        <v>241</v>
      </c>
      <c r="G41" s="73">
        <f>IFERROR(G35/(G38-G39),"")</f>
        <v>45833.33333333334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43171</v>
      </c>
      <c r="C42" s="27">
        <f>IF(B42&lt;&gt;"",IF(COUNT($A$33:A42)&lt;=$G$39,0,$G$41)+IF(COUNT($A$33:A42)&lt;=$G$40,0,$G$42),0)</f>
        <v>54083.33333333334</v>
      </c>
      <c r="D42" s="170">
        <f>IFERROR(DATE(YEAR(B42),MONTH(B42),1)," ")</f>
        <v>43160</v>
      </c>
      <c r="F42" t="s">
        <v>242</v>
      </c>
      <c r="G42" s="73">
        <f>IFERROR(G35*G36*IF(G37="Monthly",G38/12,IF(G37="Fortnightly",G38/(365/14),G38/(365/28)))/(G38-G40),"")</f>
        <v>8250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43202</v>
      </c>
      <c r="C43" s="27">
        <f>IF(B43&lt;&gt;"",IF(COUNT($A$33:A43)&lt;=$G$39,0,$G$41)+IF(COUNT($A$33:A43)&lt;=$G$40,0,$G$42),0)</f>
        <v>54083.33333333334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43232</v>
      </c>
      <c r="C44" s="27">
        <f>IF(B44&lt;&gt;"",IF(COUNT($A$33:A44)&lt;=$G$39,0,$G$41)+IF(COUNT($A$33:A44)&lt;=$G$40,0,$G$42),0)</f>
        <v>54083.33333333334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243</v>
      </c>
      <c r="C3" s="10" t="s">
        <v>244</v>
      </c>
      <c r="D3" s="10" t="s">
        <v>245</v>
      </c>
      <c r="E3" s="10" t="s">
        <v>246</v>
      </c>
      <c r="F3" s="10" t="s">
        <v>247</v>
      </c>
      <c r="G3" s="10" t="s">
        <v>248</v>
      </c>
      <c r="H3" s="10" t="s">
        <v>249</v>
      </c>
      <c r="I3" s="10" t="s">
        <v>250</v>
      </c>
      <c r="J3" s="10" t="s">
        <v>251</v>
      </c>
      <c r="K3" s="10" t="s">
        <v>252</v>
      </c>
      <c r="L3" s="10" t="s">
        <v>253</v>
      </c>
      <c r="M3" s="10" t="s">
        <v>254</v>
      </c>
      <c r="N3" s="10" t="s">
        <v>255</v>
      </c>
      <c r="O3" s="10" t="s">
        <v>256</v>
      </c>
      <c r="P3" s="10" t="s">
        <v>257</v>
      </c>
      <c r="Q3" s="10" t="s">
        <v>258</v>
      </c>
      <c r="R3" s="10" t="s">
        <v>259</v>
      </c>
      <c r="S3" s="10" t="s">
        <v>260</v>
      </c>
      <c r="T3" s="10" t="s">
        <v>261</v>
      </c>
      <c r="U3" s="10" t="s">
        <v>201</v>
      </c>
      <c r="V3" s="10" t="s">
        <v>199</v>
      </c>
      <c r="W3" s="10" t="s">
        <v>262</v>
      </c>
      <c r="X3" s="10" t="s">
        <v>263</v>
      </c>
      <c r="Y3" s="10" t="s">
        <v>264</v>
      </c>
      <c r="Z3" s="10" t="s">
        <v>265</v>
      </c>
      <c r="AA3" s="10" t="s">
        <v>266</v>
      </c>
      <c r="AB3" s="10" t="s">
        <v>267</v>
      </c>
      <c r="AC3" s="10" t="s">
        <v>268</v>
      </c>
      <c r="AD3" s="10" t="s">
        <v>269</v>
      </c>
      <c r="AE3" s="10" t="s">
        <v>270</v>
      </c>
      <c r="AF3" s="10" t="s">
        <v>271</v>
      </c>
      <c r="AG3" s="10" t="s">
        <v>272</v>
      </c>
      <c r="AH3" s="10" t="s">
        <v>273</v>
      </c>
      <c r="AI3" s="10" t="s">
        <v>274</v>
      </c>
    </row>
    <row r="4" spans="1:36" s="93" customFormat="1">
      <c r="A4" s="93" t="s">
        <v>275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103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100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89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108</v>
      </c>
      <c r="B22" s="8" t="s">
        <v>289</v>
      </c>
      <c r="C22" s="10" t="s">
        <v>290</v>
      </c>
      <c r="D22" s="10" t="s">
        <v>291</v>
      </c>
      <c r="E22" s="10" t="s">
        <v>292</v>
      </c>
      <c r="F22" s="10" t="s">
        <v>293</v>
      </c>
      <c r="G22" s="10" t="s">
        <v>294</v>
      </c>
      <c r="H22" s="10" t="s">
        <v>295</v>
      </c>
      <c r="I22" s="10" t="s">
        <v>215</v>
      </c>
      <c r="J22" s="10" t="s">
        <v>296</v>
      </c>
      <c r="K22" s="10" t="s">
        <v>297</v>
      </c>
      <c r="L22" s="10" t="s">
        <v>298</v>
      </c>
      <c r="M22" s="10" t="s">
        <v>299</v>
      </c>
      <c r="N22" s="10" t="s">
        <v>300</v>
      </c>
      <c r="O22" s="10" t="s">
        <v>301</v>
      </c>
      <c r="P22" s="10" t="s">
        <v>302</v>
      </c>
    </row>
    <row r="23" spans="1:36" s="21" customFormat="1">
      <c r="A23" s="21" t="s">
        <v>303</v>
      </c>
      <c r="B23" s="21" t="s">
        <v>304</v>
      </c>
      <c r="C23" s="72" t="s">
        <v>305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306</v>
      </c>
      <c r="B24" s="21" t="s">
        <v>307</v>
      </c>
      <c r="C24" s="116" t="s">
        <v>277</v>
      </c>
      <c r="D24" s="115" t="s">
        <v>277</v>
      </c>
      <c r="E24" s="106">
        <v>0.05</v>
      </c>
      <c r="F24" s="106">
        <v>0.1</v>
      </c>
      <c r="G24" s="106">
        <v>0.2</v>
      </c>
      <c r="H24" s="116" t="s">
        <v>277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308</v>
      </c>
      <c r="B25" s="16" t="s">
        <v>309</v>
      </c>
      <c r="C25" s="30" t="s">
        <v>310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277</v>
      </c>
      <c r="J25" s="72" t="s">
        <v>277</v>
      </c>
      <c r="K25" s="72" t="s">
        <v>277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311</v>
      </c>
      <c r="B26" s="16" t="s">
        <v>307</v>
      </c>
      <c r="C26" s="116" t="s">
        <v>277</v>
      </c>
      <c r="D26" s="115" t="s">
        <v>277</v>
      </c>
      <c r="E26" s="106">
        <v>0.2</v>
      </c>
      <c r="F26" s="106">
        <v>0.7</v>
      </c>
      <c r="G26" s="106">
        <v>2</v>
      </c>
      <c r="H26" s="116" t="s">
        <v>277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312</v>
      </c>
      <c r="B27" s="71" t="s">
        <v>307</v>
      </c>
      <c r="C27" s="116" t="s">
        <v>277</v>
      </c>
      <c r="D27" s="115" t="s">
        <v>277</v>
      </c>
      <c r="E27" s="106">
        <v>0.15</v>
      </c>
      <c r="F27" s="106">
        <v>0.25</v>
      </c>
      <c r="G27" s="106">
        <v>1</v>
      </c>
      <c r="H27" s="116" t="s">
        <v>277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313</v>
      </c>
      <c r="B28" s="71" t="s">
        <v>307</v>
      </c>
      <c r="C28" s="116" t="s">
        <v>277</v>
      </c>
      <c r="D28" s="115" t="s">
        <v>277</v>
      </c>
      <c r="E28" s="106">
        <v>0.15</v>
      </c>
      <c r="F28" s="106">
        <v>0.25</v>
      </c>
      <c r="G28" s="106">
        <v>1</v>
      </c>
      <c r="H28" s="116" t="s">
        <v>277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314</v>
      </c>
      <c r="B29" s="118" t="s">
        <v>307</v>
      </c>
      <c r="C29" s="31" t="s">
        <v>277</v>
      </c>
      <c r="D29" s="31" t="s">
        <v>277</v>
      </c>
      <c r="E29" s="24">
        <v>0.1</v>
      </c>
      <c r="F29" s="24">
        <v>0.2</v>
      </c>
      <c r="G29" s="24">
        <v>0</v>
      </c>
      <c r="H29" s="31" t="s">
        <v>277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315</v>
      </c>
      <c r="B30" s="70" t="s">
        <v>307</v>
      </c>
    </row>
    <row r="31" spans="1:36">
      <c r="H31" s="86"/>
      <c r="I31" s="86"/>
      <c r="AI31" s="12"/>
    </row>
    <row r="32" spans="1:36">
      <c r="A32" s="3" t="s">
        <v>316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317</v>
      </c>
      <c r="B34" s="11" t="s">
        <v>318</v>
      </c>
    </row>
    <row r="35" spans="1:36">
      <c r="A35" t="s">
        <v>319</v>
      </c>
      <c r="B35" s="72">
        <v>60</v>
      </c>
      <c r="C35" s="86"/>
    </row>
    <row r="36" spans="1:36">
      <c r="A36" t="s">
        <v>320</v>
      </c>
      <c r="B36" s="72">
        <v>2000</v>
      </c>
      <c r="C36" s="86"/>
    </row>
    <row r="37" spans="1:36">
      <c r="A37" t="s">
        <v>321</v>
      </c>
      <c r="B37" s="2">
        <v>0.4</v>
      </c>
    </row>
    <row r="39" spans="1:36">
      <c r="A39" s="3" t="s">
        <v>322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323</v>
      </c>
      <c r="C40" s="193"/>
    </row>
    <row r="41" spans="1:36">
      <c r="A41" s="5" t="s">
        <v>108</v>
      </c>
      <c r="B41" s="191" t="s">
        <v>92</v>
      </c>
      <c r="C41" s="191" t="s">
        <v>98</v>
      </c>
    </row>
    <row r="42" spans="1:36">
      <c r="A42" t="s">
        <v>303</v>
      </c>
      <c r="B42" s="72">
        <v>450</v>
      </c>
      <c r="C42" s="72">
        <v>450</v>
      </c>
    </row>
    <row r="43" spans="1:36">
      <c r="A43" t="s">
        <v>306</v>
      </c>
      <c r="B43" s="72">
        <v>450</v>
      </c>
      <c r="C43" s="72">
        <v>250</v>
      </c>
    </row>
    <row r="44" spans="1:36">
      <c r="A44" t="s">
        <v>308</v>
      </c>
      <c r="B44" s="72">
        <v>50000</v>
      </c>
      <c r="C44" s="72">
        <v>200000</v>
      </c>
    </row>
    <row r="45" spans="1:36">
      <c r="A45" t="s">
        <v>311</v>
      </c>
      <c r="B45" s="72">
        <v>25000</v>
      </c>
      <c r="C45" s="72">
        <v>50000</v>
      </c>
    </row>
    <row r="46" spans="1:36">
      <c r="A46" t="s">
        <v>312</v>
      </c>
      <c r="B46" s="72">
        <v>6000</v>
      </c>
      <c r="C46" s="72">
        <v>12000</v>
      </c>
    </row>
    <row r="47" spans="1:36">
      <c r="A47" t="s">
        <v>313</v>
      </c>
      <c r="B47" s="72">
        <v>4500</v>
      </c>
      <c r="C47" s="72">
        <v>12000</v>
      </c>
    </row>
    <row r="48" spans="1:36">
      <c r="A48" t="s">
        <v>314</v>
      </c>
      <c r="B48" s="72">
        <v>20000</v>
      </c>
      <c r="C48" s="72">
        <v>20000</v>
      </c>
      <c r="D48" s="72"/>
    </row>
    <row r="50" spans="1:36">
      <c r="A50" s="3" t="s">
        <v>324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100</v>
      </c>
      <c r="E52" s="12" t="s">
        <v>100</v>
      </c>
      <c r="F52" s="12" t="s">
        <v>100</v>
      </c>
      <c r="G52" s="12" t="s">
        <v>325</v>
      </c>
      <c r="H52" s="12" t="s">
        <v>326</v>
      </c>
      <c r="I52" s="12" t="s">
        <v>137</v>
      </c>
      <c r="AJ52" s="12"/>
    </row>
    <row r="53" spans="1:36" customHeight="1" ht="30">
      <c r="A53" s="11" t="s">
        <v>327</v>
      </c>
      <c r="B53" s="11" t="s">
        <v>328</v>
      </c>
      <c r="C53" s="11" t="s">
        <v>329</v>
      </c>
      <c r="D53" s="10" t="s">
        <v>243</v>
      </c>
      <c r="E53" s="10" t="s">
        <v>202</v>
      </c>
      <c r="F53" s="10" t="s">
        <v>262</v>
      </c>
      <c r="G53" s="10" t="s">
        <v>330</v>
      </c>
      <c r="H53" s="10" t="s">
        <v>331</v>
      </c>
      <c r="I53" s="10" t="s">
        <v>331</v>
      </c>
      <c r="AJ53" s="12"/>
    </row>
    <row r="54" spans="1:36">
      <c r="A54">
        <v>8</v>
      </c>
      <c r="B54" s="12" t="s">
        <v>332</v>
      </c>
      <c r="C54" s="12" t="s">
        <v>333</v>
      </c>
      <c r="D54" s="89">
        <v>465</v>
      </c>
      <c r="E54" s="89">
        <v>2</v>
      </c>
      <c r="F54" s="89">
        <v>4</v>
      </c>
      <c r="G54" s="7" t="s">
        <v>98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334</v>
      </c>
      <c r="C55" s="12" t="s">
        <v>333</v>
      </c>
      <c r="D55" s="89">
        <v>465</v>
      </c>
      <c r="E55" s="89">
        <v>2</v>
      </c>
      <c r="F55" s="89">
        <v>4</v>
      </c>
      <c r="G55" s="7" t="s">
        <v>98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335</v>
      </c>
      <c r="C56" s="116" t="s">
        <v>336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337</v>
      </c>
      <c r="C57" s="116" t="s">
        <v>333</v>
      </c>
      <c r="D57" s="189">
        <v>465</v>
      </c>
      <c r="E57" s="189">
        <v>2</v>
      </c>
      <c r="F57" s="189">
        <v>4</v>
      </c>
      <c r="G57" s="72" t="s">
        <v>98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338</v>
      </c>
      <c r="C58" s="116" t="s">
        <v>333</v>
      </c>
      <c r="D58" s="189">
        <v>465</v>
      </c>
      <c r="E58" s="189">
        <v>2</v>
      </c>
      <c r="F58" s="189">
        <v>4</v>
      </c>
      <c r="G58" s="72" t="s">
        <v>98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339</v>
      </c>
      <c r="C59" s="116" t="s">
        <v>336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340</v>
      </c>
      <c r="C60" s="116" t="s">
        <v>336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341</v>
      </c>
      <c r="C61" s="116" t="s">
        <v>336</v>
      </c>
      <c r="D61" s="189">
        <v>465</v>
      </c>
      <c r="E61" s="189">
        <v>2</v>
      </c>
      <c r="F61" s="189">
        <v>4</v>
      </c>
      <c r="G61" s="72" t="s">
        <v>98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342</v>
      </c>
      <c r="C62" s="116" t="s">
        <v>336</v>
      </c>
      <c r="D62" s="189">
        <v>465</v>
      </c>
      <c r="E62" s="189">
        <v>2</v>
      </c>
      <c r="F62" s="189">
        <v>4</v>
      </c>
      <c r="G62" s="72" t="s">
        <v>98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343</v>
      </c>
      <c r="C63" s="116" t="s">
        <v>336</v>
      </c>
      <c r="D63" s="189">
        <v>465</v>
      </c>
      <c r="E63" s="189">
        <v>2</v>
      </c>
      <c r="F63" s="189">
        <v>4</v>
      </c>
      <c r="G63" s="72" t="s">
        <v>98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344</v>
      </c>
      <c r="C64" s="116" t="s">
        <v>336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345</v>
      </c>
      <c r="C65" s="12" t="s">
        <v>336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346</v>
      </c>
      <c r="C66" s="12" t="s">
        <v>336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347</v>
      </c>
      <c r="C67" s="12" t="s">
        <v>336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348</v>
      </c>
      <c r="C68" s="12" t="s">
        <v>336</v>
      </c>
      <c r="D68" s="89">
        <v>930</v>
      </c>
      <c r="E68" s="89">
        <v>1</v>
      </c>
      <c r="F68" s="89">
        <v>6</v>
      </c>
      <c r="G68" s="7" t="s">
        <v>98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349</v>
      </c>
      <c r="C69" s="12" t="s">
        <v>336</v>
      </c>
      <c r="D69" s="89">
        <v>465</v>
      </c>
      <c r="E69" s="89">
        <v>2</v>
      </c>
      <c r="F69" s="89">
        <v>4</v>
      </c>
      <c r="G69" s="7" t="s">
        <v>98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350</v>
      </c>
      <c r="C70" s="12" t="s">
        <v>336</v>
      </c>
      <c r="D70" s="89">
        <v>465</v>
      </c>
      <c r="E70" s="89">
        <v>2</v>
      </c>
      <c r="F70" s="89">
        <v>4</v>
      </c>
      <c r="G70" s="7" t="s">
        <v>98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351</v>
      </c>
      <c r="C71" s="12" t="s">
        <v>333</v>
      </c>
      <c r="D71" s="89">
        <v>465</v>
      </c>
      <c r="E71" s="89">
        <v>2</v>
      </c>
      <c r="F71" s="89">
        <v>4</v>
      </c>
      <c r="G71" s="7" t="s">
        <v>98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353</v>
      </c>
      <c r="B76" s="11" t="s">
        <v>354</v>
      </c>
      <c r="C76" s="11" t="s">
        <v>180</v>
      </c>
      <c r="D76" s="11" t="s">
        <v>355</v>
      </c>
      <c r="E76" s="11" t="s">
        <v>80</v>
      </c>
      <c r="F76" s="11" t="s">
        <v>356</v>
      </c>
      <c r="G76" s="11" t="s">
        <v>357</v>
      </c>
      <c r="H76" s="11" t="s">
        <v>358</v>
      </c>
      <c r="I76" s="11" t="s">
        <v>239</v>
      </c>
      <c r="J76" s="11" t="s">
        <v>359</v>
      </c>
      <c r="K76" s="11" t="s">
        <v>192</v>
      </c>
      <c r="AJ76" s="12"/>
    </row>
    <row r="77" spans="1:36">
      <c r="A77" t="s">
        <v>98</v>
      </c>
      <c r="B77" s="176">
        <v>0</v>
      </c>
      <c r="C77" s="12" t="s">
        <v>360</v>
      </c>
      <c r="E77" s="12" t="s">
        <v>92</v>
      </c>
      <c r="F77" s="12" t="s">
        <v>92</v>
      </c>
      <c r="G77" s="12" t="s">
        <v>361</v>
      </c>
      <c r="H77" s="12" t="s">
        <v>326</v>
      </c>
      <c r="I77" s="12" t="s">
        <v>362</v>
      </c>
      <c r="J77" s="136" t="s">
        <v>101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363</v>
      </c>
      <c r="D78" s="133"/>
      <c r="E78" s="12" t="s">
        <v>91</v>
      </c>
      <c r="F78" s="12" t="s">
        <v>364</v>
      </c>
      <c r="G78" s="12" t="s">
        <v>365</v>
      </c>
      <c r="H78" s="12" t="s">
        <v>137</v>
      </c>
      <c r="I78" s="12" t="s">
        <v>366</v>
      </c>
      <c r="J78" s="70" t="s">
        <v>96</v>
      </c>
      <c r="K78" s="12" t="s">
        <v>92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367</v>
      </c>
      <c r="F79" s="12" t="s">
        <v>368</v>
      </c>
      <c r="G79" s="12" t="s">
        <v>369</v>
      </c>
      <c r="I79" s="12" t="s">
        <v>180</v>
      </c>
      <c r="J79" s="70" t="s">
        <v>105</v>
      </c>
      <c r="K79" s="12" t="s">
        <v>92</v>
      </c>
      <c r="AJ79" s="12"/>
    </row>
    <row r="80" spans="1:36">
      <c r="B80" s="176">
        <v>20</v>
      </c>
      <c r="C80" s="12" t="s">
        <v>106</v>
      </c>
      <c r="D80" s="12">
        <f>D79+1</f>
        <v>2</v>
      </c>
      <c r="E80" s="12" t="s">
        <v>97</v>
      </c>
      <c r="F80" s="12" t="s">
        <v>93</v>
      </c>
      <c r="J80" s="70" t="s">
        <v>90</v>
      </c>
      <c r="K80" s="12" t="s">
        <v>98</v>
      </c>
      <c r="AJ80" s="12"/>
    </row>
    <row r="81" spans="1:36">
      <c r="B81" s="176">
        <v>30</v>
      </c>
      <c r="C81" s="12" t="s">
        <v>99</v>
      </c>
      <c r="D81" s="12">
        <f>D80+1</f>
        <v>3</v>
      </c>
      <c r="J81" s="70" t="s">
        <v>370</v>
      </c>
      <c r="K81" s="12" t="s">
        <v>98</v>
      </c>
    </row>
    <row r="82" spans="1:36">
      <c r="B82" s="176">
        <v>40</v>
      </c>
      <c r="C82" s="12" t="s">
        <v>165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374</v>
      </c>
      <c r="D86" s="12">
        <f>D85+1</f>
        <v>8</v>
      </c>
    </row>
    <row r="87" spans="1:36">
      <c r="B87" s="176">
        <v>89.99999999999999</v>
      </c>
      <c r="C87" s="12" t="s">
        <v>375</v>
      </c>
      <c r="D87" s="12">
        <f>D86+1</f>
        <v>9</v>
      </c>
    </row>
    <row r="88" spans="1:36">
      <c r="B88" s="176">
        <v>99.99999999999999</v>
      </c>
      <c r="C88" s="12" t="s">
        <v>376</v>
      </c>
      <c r="D88" s="12">
        <f>D87+1</f>
        <v>10</v>
      </c>
    </row>
    <row r="89" spans="1:36">
      <c r="C89" s="12" t="s">
        <v>167</v>
      </c>
      <c r="D89" s="12">
        <f>D88+1</f>
        <v>11</v>
      </c>
    </row>
    <row r="90" spans="1:36">
      <c r="C90" s="12" t="s">
        <v>166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