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<sst xmlns="http://schemas.openxmlformats.org/spreadsheetml/2006/main" uniqueCount="369">
  <si>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</si>
  <si>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</si>
  <si>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</si>
  <si>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</si>
  <si>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</si>
  <si>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</si>
  <si>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</si>
  <si>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</si>
  <si>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</si>
  <si>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</si>
  <si>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</si>
  <si>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</si>
  <si>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</si>
  <si>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</si>
  <si>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</si>
  <si>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</si>
  <si>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</si>
  <si>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</si>
  <si>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</si>
  <si>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</si>
  <si>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</si>
  <si>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</si>
  <si>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</si>
  <si>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</si>
  <si>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</si>
  <si>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</si>
  <si>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</si>
  <si>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</si>
  <si>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</si>
  <si>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</si>
  <si>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</si>
  <si>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</si>
  <si>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</si>
  <si>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</si>
  <si>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</si>
  <si>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</si>
  <si>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</si>
  <si>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</si>
  <si>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</si>
  <si>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</si>
  <si>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</si>
  <si>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</si>
  <si>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</si>
  <si>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</si>
  <si>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</si>
  <si>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</si>
  <si>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</si>
  <si>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</si>
  <si>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</si>
  <si>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</si>
  <si>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</si>
  <si>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</si>
  <si>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</si>
  <si>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</si>
  <si>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</si>
  <si>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</si>
  <si>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</si>
  <si>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</si>
  <si>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</si>
  <si>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</si>
  <si>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</si>
  <si>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</si>
  <si>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</si>
  <si>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</si>
  <si>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</si>
  <si>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</si>
  <si>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</si>
  <si>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</si>
  <si>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</si>
  <si>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</si>
  <si>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</si>
  <si>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</si>
  <si>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</si>
  <si>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</si>
  <si>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</si>
  <si>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</si>
  <si>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</si>
  <si>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</si>
  <si>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</si>
  <si>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</si>
  <si>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</si>
  <si>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</si>
  <si>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</si>
  <si>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</si>
  <si>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</si>
  <si>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</si>
  <si>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</si>
  <si>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</si>
  <si>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</si>
  <si>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</si>
  <si>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</si>
  <si>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</si>
  <si>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</si>
  <si>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</si>
  <si>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December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</si>
  <si>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</si>
  <si>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</si>
  <si>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</si>
  <si>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</si>
  <si>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</si>
  <si>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</si>
  <si>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</si>
  <si>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</si>
  <si>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</si>
  <si>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</si>
  <si>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</si>
  <si>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</si>
  <si>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</si>
  <si>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</si>
  <si>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No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</si>
  <si>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</si>
  <si>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</si>
  <si>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</si>
  <si>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</si>
  <si>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</si>
  <si>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</si>
  <si>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</si>
  <si>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</si>
  <si>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</si>
  <si>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</si>
  <si>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</si>
  <si>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</si>
  <si>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</si>
  <si>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</si>
  <si>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</si>
  <si>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</si>
  <si>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</si>
  <si>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</si>
  <si>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</si>
  <si>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</si>
  <si>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</si>
  <si>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</si>
  <si>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</si>
  <si>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</si>
  <si>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</si>
  <si>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</si>
  <si>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</si>
  <si>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</si>
  <si>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</si>
  <si>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</si>
  <si>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</si>
  <si>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</si>
  <si>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</si>
  <si>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12/15/2014</t>
  </si>
  <si>
    <t>Equity</t>
  </si>
  <si>
    <t>Bank delayed to recover the amount from the client's account.</t>
  </si>
  <si>
    <t>Mpesa &amp; bank cash flows (from past statements)</t>
  </si>
  <si>
    <t>Cash inflows</t>
  </si>
  <si>
    <t>Cash outflows</t>
  </si>
  <si>
    <t>November</t>
  </si>
  <si>
    <t>January</t>
  </si>
  <si>
    <t>February</t>
  </si>
  <si>
    <t>March</t>
  </si>
  <si>
    <t>April</t>
  </si>
  <si>
    <t>Loan info</t>
  </si>
  <si>
    <t>Branch ID</t>
  </si>
  <si>
    <t>Submission date</t>
  </si>
  <si>
    <t>2017/4/27</t>
  </si>
  <si>
    <t>Loan terms</t>
  </si>
  <si>
    <t>Expected disbursement date</t>
  </si>
  <si>
    <t>2017/5/5</t>
  </si>
  <si>
    <t>Expected first repayment date</t>
  </si>
  <si>
    <t>2019/10/8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</si>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</sst>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0.03462972828982419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0</v>
      </c>
    </row>
    <row r="17" spans="1:7">
      <c r="B17" s="1" t="s">
        <v>11</v>
      </c>
      <c r="C17" s="36">
        <f>SUM(Output!B6:M6)</f>
        <v>16270.4725510761</v>
      </c>
    </row>
    <row r="18" spans="1:7">
      <c r="B18" s="1" t="s">
        <v>12</v>
      </c>
      <c r="C18" s="36">
        <f>MIN(Output!B6:M6)</f>
        <v>-14697.87942744074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45307.51530762313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2130</v>
      </c>
    </row>
    <row r="25" spans="1:7">
      <c r="B25" s="1" t="s">
        <v>18</v>
      </c>
      <c r="C25" s="36">
        <f>MAX(Inputs!A56:A60)</f>
        <v>2130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-5485.879427440737</v>
      </c>
      <c r="C6" s="51">
        <f>C30-C88</f>
        <v>-5485.879427440737</v>
      </c>
      <c r="D6" s="51">
        <f>D30-D88</f>
        <v>14930.8943750032</v>
      </c>
      <c r="E6" s="51">
        <f>E30-E88</f>
        <v>45307.51530762313</v>
      </c>
      <c r="F6" s="51">
        <f>F30-F88</f>
        <v>-160.1651417264507</v>
      </c>
      <c r="G6" s="51">
        <f>G30-G88</f>
        <v>-160.1651417264507</v>
      </c>
      <c r="H6" s="51">
        <f>H30-H88</f>
        <v>-160.1651417264507</v>
      </c>
      <c r="I6" s="51">
        <f>I30-I88</f>
        <v>-160.1651417264507</v>
      </c>
      <c r="J6" s="51">
        <f>J30-J88</f>
        <v>-14697.87942744074</v>
      </c>
      <c r="K6" s="51">
        <f>K30-K88</f>
        <v>-5485.879427440737</v>
      </c>
      <c r="L6" s="51">
        <f>L30-L88</f>
        <v>-5485.879427440737</v>
      </c>
      <c r="M6" s="51">
        <f>M30-M88</f>
        <v>-6685.879427440737</v>
      </c>
      <c r="N6" s="51">
        <f>N30-N88</f>
        <v>-5485.879427440737</v>
      </c>
      <c r="O6" s="51">
        <f>O30-O88</f>
        <v>-5485.879427440737</v>
      </c>
      <c r="P6" s="51">
        <f>P30-P88</f>
        <v>14930.8943750032</v>
      </c>
      <c r="Q6" s="51">
        <f>Q30-Q88</f>
        <v>45307.51530762313</v>
      </c>
      <c r="R6" s="51">
        <f>R30-R88</f>
        <v>-160.1651417264507</v>
      </c>
      <c r="S6" s="51">
        <f>S30-S88</f>
        <v>-160.1651417264507</v>
      </c>
      <c r="T6" s="51">
        <f>T30-T88</f>
        <v>-160.1651417264507</v>
      </c>
      <c r="U6" s="51">
        <f>U30-U88</f>
        <v>-160.1651417264507</v>
      </c>
      <c r="V6" s="51">
        <f>V30-V88</f>
        <v>-14697.87942744074</v>
      </c>
      <c r="W6" s="51">
        <f>W30-W88</f>
        <v>-5485.879427440737</v>
      </c>
      <c r="X6" s="51">
        <f>X30-X88</f>
        <v>-5485.879427440737</v>
      </c>
      <c r="Y6" s="51">
        <f>Y30-Y88</f>
        <v>-6685.879427440737</v>
      </c>
      <c r="Z6" s="51">
        <f>SUMIF($B$13:$Y$13,"Yes",B6:Y6)</f>
        <v>-10971.75885488147</v>
      </c>
      <c r="AA6" s="51">
        <f>AA30-AA88</f>
        <v>16270.47255107609</v>
      </c>
      <c r="AB6" s="51">
        <f>AB30-AB88</f>
        <v>32540.9451021523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21706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58836</v>
      </c>
      <c r="J7" s="80">
        <f>IF(ISERROR(VLOOKUP(MONTH(J5),Inputs!$D$66:$D$71,1,0)),"",INDEX(Inputs!$B$66:$B$71,MATCH(MONTH(Output!J5),Inputs!$D$66:$D$71,0))-INDEX(Inputs!$C$66:$C$71,MATCH(MONTH(Output!J5),Inputs!$D$66:$D$71,0)))</f>
        <v>12878</v>
      </c>
      <c r="K7" s="80">
        <f>IF(ISERROR(VLOOKUP(MONTH(K5),Inputs!$D$66:$D$71,1,0)),"",INDEX(Inputs!$B$66:$B$71,MATCH(MONTH(Output!K5),Inputs!$D$66:$D$71,0))-INDEX(Inputs!$C$66:$C$71,MATCH(MONTH(Output!K5),Inputs!$D$66:$D$71,0)))</f>
        <v>23625</v>
      </c>
      <c r="L7" s="80">
        <f>IF(ISERROR(VLOOKUP(MONTH(L5),Inputs!$D$66:$D$71,1,0)),"",INDEX(Inputs!$B$66:$B$71,MATCH(MONTH(Output!L5),Inputs!$D$66:$D$71,0))-INDEX(Inputs!$C$66:$C$71,MATCH(MONTH(Output!L5),Inputs!$D$66:$D$71,0)))</f>
        <v>11973</v>
      </c>
      <c r="M7" s="80">
        <f>IF(ISERROR(VLOOKUP(MONTH(M5),Inputs!$D$66:$D$71,1,0)),"",INDEX(Inputs!$B$66:$B$71,MATCH(MONTH(Output!M5),Inputs!$D$66:$D$71,0))-INDEX(Inputs!$C$66:$C$71,MATCH(MONTH(Output!M5),Inputs!$D$66:$D$71,0)))</f>
        <v>16633</v>
      </c>
      <c r="N7" s="80">
        <f>IF(ISERROR(VLOOKUP(MONTH(N5),Inputs!$D$66:$D$71,1,0)),"",INDEX(Inputs!$B$66:$B$71,MATCH(MONTH(Output!N5),Inputs!$D$66:$D$71,0))-INDEX(Inputs!$C$66:$C$71,MATCH(MONTH(Output!N5),Inputs!$D$66:$D$71,0)))</f>
        <v>21706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58836</v>
      </c>
      <c r="V7" s="80">
        <f>IF(ISERROR(VLOOKUP(MONTH(V5),Inputs!$D$66:$D$71,1,0)),"",INDEX(Inputs!$B$66:$B$71,MATCH(MONTH(Output!V5),Inputs!$D$66:$D$71,0))-INDEX(Inputs!$C$66:$C$71,MATCH(MONTH(Output!V5),Inputs!$D$66:$D$71,0)))</f>
        <v>12878</v>
      </c>
      <c r="W7" s="80">
        <f>IF(ISERROR(VLOOKUP(MONTH(W5),Inputs!$D$66:$D$71,1,0)),"",INDEX(Inputs!$B$66:$B$71,MATCH(MONTH(Output!W5),Inputs!$D$66:$D$71,0))-INDEX(Inputs!$C$66:$C$71,MATCH(MONTH(Output!W5),Inputs!$D$66:$D$71,0)))</f>
        <v>23625</v>
      </c>
      <c r="X7" s="80">
        <f>IF(ISERROR(VLOOKUP(MONTH(X5),Inputs!$D$66:$D$71,1,0)),"",INDEX(Inputs!$B$66:$B$71,MATCH(MONTH(Output!X5),Inputs!$D$66:$D$71,0))-INDEX(Inputs!$C$66:$C$71,MATCH(MONTH(Output!X5),Inputs!$D$66:$D$71,0)))</f>
        <v>11973</v>
      </c>
      <c r="Y7" s="80">
        <f>IF(ISERROR(VLOOKUP(MONTH(Y5),Inputs!$D$66:$D$71,1,0)),"",INDEX(Inputs!$B$66:$B$71,MATCH(MONTH(Output!Y5),Inputs!$D$66:$D$71,0))-INDEX(Inputs!$C$66:$C$71,MATCH(MONTH(Output!Y5),Inputs!$D$66:$D$71,0)))</f>
        <v>16633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0</v>
      </c>
      <c r="C9" s="75">
        <f>IFERROR(IF(AND(MONTH(C5)=MONTH(Calculations!$G$33),YEAR(C5)=YEAR(Calculations!$G$33)),Calculations!$G$35,0),0)</f>
        <v>100000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0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0</v>
      </c>
      <c r="AA10" s="37">
        <f>SUM(B10:M10)</f>
        <v>0</v>
      </c>
      <c r="AB10" s="37">
        <f>SUM(B10:Y10)</f>
        <v>0</v>
      </c>
    </row>
    <row r="11" spans="1:30" customHeight="1" ht="15.75">
      <c r="A11" s="43" t="s">
        <v>31</v>
      </c>
      <c r="B11" s="80">
        <f>B6+B9-B10</f>
        <v>-5485.879427440737</v>
      </c>
      <c r="C11" s="80">
        <f>C6+C9-C10</f>
        <v>94514.12057255926</v>
      </c>
      <c r="D11" s="80">
        <f>D6+D9-D10</f>
        <v>14930.8943750032</v>
      </c>
      <c r="E11" s="80">
        <f>E6+E9-E10</f>
        <v>45307.51530762313</v>
      </c>
      <c r="F11" s="80">
        <f>F6+F9-F10</f>
        <v>-160.1651417264507</v>
      </c>
      <c r="G11" s="80">
        <f>G6+G9-G10</f>
        <v>-160.1651417264507</v>
      </c>
      <c r="H11" s="80">
        <f>H6+H9-H10</f>
        <v>-160.1651417264507</v>
      </c>
      <c r="I11" s="80">
        <f>I6+I9-I10</f>
        <v>-160.1651417264507</v>
      </c>
      <c r="J11" s="80">
        <f>J6+J9-J10</f>
        <v>-14697.87942744074</v>
      </c>
      <c r="K11" s="80">
        <f>K6+K9-K10</f>
        <v>-5485.879427440737</v>
      </c>
      <c r="L11" s="80">
        <f>L6+L9-L10</f>
        <v>-5485.879427440737</v>
      </c>
      <c r="M11" s="80">
        <f>M6+M9-M10</f>
        <v>-6685.879427440737</v>
      </c>
      <c r="N11" s="80">
        <f>N6+N9-N10</f>
        <v>-5485.879427440737</v>
      </c>
      <c r="O11" s="80">
        <f>O6+O9-O10</f>
        <v>-5485.879427440737</v>
      </c>
      <c r="P11" s="80">
        <f>P6+P9-P10</f>
        <v>14930.8943750032</v>
      </c>
      <c r="Q11" s="80">
        <f>Q6+Q9-Q10</f>
        <v>45307.51530762313</v>
      </c>
      <c r="R11" s="80">
        <f>R6+R9-R10</f>
        <v>-160.1651417264507</v>
      </c>
      <c r="S11" s="80">
        <f>S6+S9-S10</f>
        <v>-160.1651417264507</v>
      </c>
      <c r="T11" s="80">
        <f>T6+T9-T10</f>
        <v>-160.1651417264507</v>
      </c>
      <c r="U11" s="80">
        <f>U6+U9-U10</f>
        <v>-160.1651417264507</v>
      </c>
      <c r="V11" s="80">
        <f>V6+V9-V10</f>
        <v>-14697.87942744074</v>
      </c>
      <c r="W11" s="80">
        <f>W6+W9-W10</f>
        <v>-5485.879427440737</v>
      </c>
      <c r="X11" s="80">
        <f>X6+X9-X10</f>
        <v>-5485.879427440737</v>
      </c>
      <c r="Y11" s="80">
        <f>Y6+Y9-Y10</f>
        <v>-6685.879427440737</v>
      </c>
      <c r="Z11" s="85">
        <f>SUMIF($B$13:$Y$13,"Yes",B11:Y11)</f>
        <v>89028.24114511852</v>
      </c>
      <c r="AA11" s="80">
        <f>SUM(B11:M11)</f>
        <v>116270.4725510762</v>
      </c>
      <c r="AB11" s="46">
        <f>SUM(B11:Y11)</f>
        <v>132540.9451021524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0</v>
      </c>
      <c r="D12" s="82" t="str">
        <f>IF(D13="Yes",IF(SUM($B$10:D10)/(SUM($B$6:D6)+SUM($B$9:D9))&lt;0,999.99,SUM($B$10:D10)/(SUM($B$6:D6)+SUM($B$9:D9))),"")</f>
        <v/>
      </c>
      <c r="E12" s="82" t="str">
        <f>IF(E13="Yes",IF(SUM($B$10:E10)/(SUM($B$6:E6)+SUM($B$9:E9))&lt;0,999.99,SUM($B$10:E10)/(SUM($B$6:E6)+SUM($B$9:E9))),"")</f>
        <v/>
      </c>
      <c r="F12" s="82" t="str">
        <f>IF(F13="Yes",IF(SUM($B$10:F10)/(SUM($B$6:F6)+SUM($B$9:F9))&lt;0,999.99,SUM($B$10:F10)/(SUM($B$6:F6)+SUM($B$9:F9))),"")</f>
        <v/>
      </c>
      <c r="G12" s="82" t="str">
        <f>IF(G13="Yes",IF(SUM($B$10:G10)/(SUM($B$6:G6)+SUM($B$9:G9))&lt;0,999.99,SUM($B$10:G10)/(SUM($B$6:G6)+SUM($B$9:G9))),"")</f>
        <v/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No</v>
      </c>
      <c r="E13" s="183" t="str">
        <f>IF(SUM(E9:$Y$10)&gt;0,"Yes","No")</f>
        <v>No</v>
      </c>
      <c r="F13" s="183" t="str">
        <f>IF(SUM(F9:$Y$10)&gt;0,"Yes","No")</f>
        <v>No</v>
      </c>
      <c r="G13" s="183" t="str">
        <f>IF(SUM(G9:$Y$10)&gt;0,"Yes","No")</f>
        <v>No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37889.73370779132</v>
      </c>
      <c r="E18" s="36">
        <f>Q18</f>
        <v>45467.68044934958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37889.73370779132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45467.68044934958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83357.4141571409</v>
      </c>
      <c r="AB18" s="36">
        <f>SUM(B18:Y18)</f>
        <v>166714.8283142818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7200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2156.25</v>
      </c>
      <c r="C24" s="36">
        <f>IFERROR(Calculations!$P14/12,"")</f>
        <v>2156.25</v>
      </c>
      <c r="D24" s="36">
        <f>IFERROR(Calculations!$P14/12,"")</f>
        <v>2156.25</v>
      </c>
      <c r="E24" s="36">
        <f>IFERROR(Calculations!$P14/12,"")</f>
        <v>2156.25</v>
      </c>
      <c r="F24" s="36">
        <f>IFERROR(Calculations!$P14/12,"")</f>
        <v>2156.25</v>
      </c>
      <c r="G24" s="36">
        <f>IFERROR(Calculations!$P14/12,"")</f>
        <v>2156.25</v>
      </c>
      <c r="H24" s="36">
        <f>IFERROR(Calculations!$P14/12,"")</f>
        <v>2156.25</v>
      </c>
      <c r="I24" s="36">
        <f>IFERROR(Calculations!$P14/12,"")</f>
        <v>2156.25</v>
      </c>
      <c r="J24" s="36">
        <f>IFERROR(Calculations!$P14/12,"")</f>
        <v>2156.25</v>
      </c>
      <c r="K24" s="36">
        <f>IFERROR(Calculations!$P14/12,"")</f>
        <v>2156.25</v>
      </c>
      <c r="L24" s="36">
        <f>IFERROR(Calculations!$P14/12,"")</f>
        <v>2156.25</v>
      </c>
      <c r="M24" s="36">
        <f>IFERROR(Calculations!$P14/12,"")</f>
        <v>2156.25</v>
      </c>
      <c r="N24" s="36">
        <f>IFERROR(Calculations!$P14/12,"")</f>
        <v>2156.25</v>
      </c>
      <c r="O24" s="36">
        <f>IFERROR(Calculations!$P14/12,"")</f>
        <v>2156.25</v>
      </c>
      <c r="P24" s="36">
        <f>IFERROR(Calculations!$P14/12,"")</f>
        <v>2156.25</v>
      </c>
      <c r="Q24" s="36">
        <f>IFERROR(Calculations!$P14/12,"")</f>
        <v>2156.25</v>
      </c>
      <c r="R24" s="36">
        <f>IFERROR(Calculations!$P14/12,"")</f>
        <v>2156.25</v>
      </c>
      <c r="S24" s="36">
        <f>IFERROR(Calculations!$P14/12,"")</f>
        <v>2156.25</v>
      </c>
      <c r="T24" s="36">
        <f>IFERROR(Calculations!$P14/12,"")</f>
        <v>2156.25</v>
      </c>
      <c r="U24" s="36">
        <f>IFERROR(Calculations!$P14/12,"")</f>
        <v>2156.25</v>
      </c>
      <c r="V24" s="36">
        <f>IFERROR(Calculations!$P14/12,"")</f>
        <v>2156.25</v>
      </c>
      <c r="W24" s="36">
        <f>IFERROR(Calculations!$P14/12,"")</f>
        <v>2156.25</v>
      </c>
      <c r="X24" s="36">
        <f>IFERROR(Calculations!$P14/12,"")</f>
        <v>2156.25</v>
      </c>
      <c r="Y24" s="36">
        <f>IFERROR(Calculations!$P14/12,"")</f>
        <v>2156.25</v>
      </c>
      <c r="Z24" s="36">
        <f>SUMIF($B$13:$Y$13,"Yes",B24:Y24)</f>
        <v>4312.5</v>
      </c>
      <c r="AA24" s="36">
        <f>SUM(B24:M24)</f>
        <v>25875</v>
      </c>
      <c r="AB24" s="46">
        <f>SUM(B24:Y24)</f>
        <v>51750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2156.25</v>
      </c>
      <c r="C30" s="19">
        <f>SUM(C18:C29)</f>
        <v>2156.25</v>
      </c>
      <c r="D30" s="19">
        <f>SUM(D18:D29)</f>
        <v>40045.98370779132</v>
      </c>
      <c r="E30" s="19">
        <f>SUM(E18:E29)</f>
        <v>47623.93044934958</v>
      </c>
      <c r="F30" s="19">
        <f>SUM(F18:F29)</f>
        <v>2156.25</v>
      </c>
      <c r="G30" s="19">
        <f>SUM(G18:G29)</f>
        <v>2156.25</v>
      </c>
      <c r="H30" s="19">
        <f>SUM(H18:H29)</f>
        <v>2156.25</v>
      </c>
      <c r="I30" s="19">
        <f>SUM(I18:I29)</f>
        <v>2156.25</v>
      </c>
      <c r="J30" s="19">
        <f>SUM(J18:J29)</f>
        <v>2156.25</v>
      </c>
      <c r="K30" s="19">
        <f>SUM(K18:K29)</f>
        <v>2156.25</v>
      </c>
      <c r="L30" s="19">
        <f>SUM(L18:L29)</f>
        <v>2156.25</v>
      </c>
      <c r="M30" s="19">
        <f>SUM(M18:M29)</f>
        <v>2156.25</v>
      </c>
      <c r="N30" s="19">
        <f>SUM(N18:N29)</f>
        <v>2156.25</v>
      </c>
      <c r="O30" s="19">
        <f>SUM(O18:O29)</f>
        <v>2156.25</v>
      </c>
      <c r="P30" s="19">
        <f>SUM(P18:P29)</f>
        <v>40045.98370779132</v>
      </c>
      <c r="Q30" s="19">
        <f>SUM(Q18:Q29)</f>
        <v>47623.93044934958</v>
      </c>
      <c r="R30" s="19">
        <f>SUM(R18:R29)</f>
        <v>2156.25</v>
      </c>
      <c r="S30" s="19">
        <f>SUM(S18:S29)</f>
        <v>2156.25</v>
      </c>
      <c r="T30" s="19">
        <f>SUM(T18:T29)</f>
        <v>2156.25</v>
      </c>
      <c r="U30" s="19">
        <f>SUM(U18:U29)</f>
        <v>2156.25</v>
      </c>
      <c r="V30" s="19">
        <f>SUM(V18:V29)</f>
        <v>2156.25</v>
      </c>
      <c r="W30" s="19">
        <f>SUM(W18:W29)</f>
        <v>2156.25</v>
      </c>
      <c r="X30" s="19">
        <f>SUM(X18:X29)</f>
        <v>2156.25</v>
      </c>
      <c r="Y30" s="19">
        <f>SUM(Y18:Y29)</f>
        <v>2156.25</v>
      </c>
      <c r="Z30" s="19">
        <f>SUMIF($B$13:$Y$13,"Yes",B30:Y30)</f>
        <v>4312.5</v>
      </c>
      <c r="AA30" s="19">
        <f>SUM(B30:M30)</f>
        <v>109232.4141571409</v>
      </c>
      <c r="AB30" s="19">
        <f>SUM(B30:Y30)</f>
        <v>218464.8283142818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8000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8000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8000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8000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1212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1212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1212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1212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1200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1200</v>
      </c>
      <c r="Z48" s="46">
        <f>SUMIF($B$13:$Y$13,"Yes",B48:Y48)</f>
        <v>0</v>
      </c>
      <c r="AA48" s="46">
        <f>SUM(B48:M48)</f>
        <v>1200</v>
      </c>
      <c r="AB48" s="46">
        <f>SUM(B48:Y48)</f>
        <v>2400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1200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1200</v>
      </c>
      <c r="Z49" s="46">
        <f>SUMIF($B$13:$Y$13,"Yes",B49:Y49)</f>
        <v>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17472.95990534738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17472.95990534738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17472.95990534738</v>
      </c>
      <c r="AB54" s="46">
        <f>SUM(B54:Y54)</f>
        <v>34945.91981069475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17472.95990534738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17472.95990534738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17472.95990534738</v>
      </c>
      <c r="AB55" s="46">
        <f>SUM(B55:Y55)</f>
        <v>34945.91981069475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2857.142857142857</v>
      </c>
      <c r="C60" s="36">
        <f>O60</f>
        <v>2857.142857142857</v>
      </c>
      <c r="D60" s="36">
        <f>P60</f>
        <v>2857.142857142857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2857.142857142857</v>
      </c>
      <c r="K60" s="36">
        <f>W60</f>
        <v>2857.142857142857</v>
      </c>
      <c r="L60" s="36">
        <f>X60</f>
        <v>2857.142857142857</v>
      </c>
      <c r="M60" s="36">
        <f>Y60</f>
        <v>2857.142857142857</v>
      </c>
      <c r="N60" s="46">
        <f>SUM(N61:N65)</f>
        <v>2857.142857142857</v>
      </c>
      <c r="O60" s="46">
        <f>SUM(O61:O65)</f>
        <v>2857.142857142857</v>
      </c>
      <c r="P60" s="46">
        <f>SUM(P61:P65)</f>
        <v>2857.142857142857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2857.142857142857</v>
      </c>
      <c r="W60" s="46">
        <f>SUM(W61:W65)</f>
        <v>2857.142857142857</v>
      </c>
      <c r="X60" s="46">
        <f>SUM(X61:X65)</f>
        <v>2857.142857142857</v>
      </c>
      <c r="Y60" s="46">
        <f>SUM(Y61:Y65)</f>
        <v>2857.142857142857</v>
      </c>
      <c r="Z60" s="46">
        <f>SUMIF($B$13:$Y$13,"Yes",B60:Y60)</f>
        <v>5714.285714285715</v>
      </c>
      <c r="AA60" s="46">
        <f>SUM(B60:M60)</f>
        <v>20000</v>
      </c>
      <c r="AB60" s="46">
        <f>SUM(B60:Y60)</f>
        <v>40000.00000000001</v>
      </c>
    </row>
    <row r="61" spans="1:30" hidden="true" outlineLevel="1">
      <c r="A61" s="181" t="str">
        <f>Calculations!$A$4</f>
        <v>Maize</v>
      </c>
      <c r="B61" s="36">
        <f>N61</f>
        <v>2857.142857142857</v>
      </c>
      <c r="C61" s="36">
        <f>O61</f>
        <v>2857.142857142857</v>
      </c>
      <c r="D61" s="36">
        <f>P61</f>
        <v>2857.142857142857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2857.142857142857</v>
      </c>
      <c r="K61" s="36">
        <f>W61</f>
        <v>2857.142857142857</v>
      </c>
      <c r="L61" s="36">
        <f>X61</f>
        <v>2857.142857142857</v>
      </c>
      <c r="M61" s="36">
        <f>Y61</f>
        <v>2857.142857142857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2857.142857142857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2857.142857142857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2857.142857142857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2857.142857142857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2857.142857142857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2857.142857142857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2857.142857142857</v>
      </c>
      <c r="Z61" s="46">
        <f>SUMIF($B$13:$Y$13,"Yes",B61:Y61)</f>
        <v>5714.285714285715</v>
      </c>
      <c r="AA61" s="46">
        <f>SUM(B61:M61)</f>
        <v>20000</v>
      </c>
      <c r="AB61" s="46">
        <f>SUM(B61:Y61)</f>
        <v>40000.00000000001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2468.571428571429</v>
      </c>
      <c r="C66" s="36">
        <f>O66</f>
        <v>2468.571428571429</v>
      </c>
      <c r="D66" s="36">
        <f>P66</f>
        <v>2468.571428571429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2468.571428571429</v>
      </c>
      <c r="K66" s="36">
        <f>W66</f>
        <v>2468.571428571429</v>
      </c>
      <c r="L66" s="36">
        <f>X66</f>
        <v>2468.571428571429</v>
      </c>
      <c r="M66" s="36">
        <f>Y66</f>
        <v>2468.571428571429</v>
      </c>
      <c r="N66" s="46">
        <f>SUM(N67:N71)</f>
        <v>2468.571428571429</v>
      </c>
      <c r="O66" s="46">
        <f>SUM(O67:O71)</f>
        <v>2468.571428571429</v>
      </c>
      <c r="P66" s="46">
        <f>SUM(P67:P71)</f>
        <v>2468.571428571429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2468.571428571429</v>
      </c>
      <c r="W66" s="46">
        <f>SUM(W67:W71)</f>
        <v>2468.571428571429</v>
      </c>
      <c r="X66" s="46">
        <f>SUM(X67:X71)</f>
        <v>2468.571428571429</v>
      </c>
      <c r="Y66" s="46">
        <f>SUM(Y67:Y71)</f>
        <v>2468.571428571429</v>
      </c>
      <c r="Z66" s="46">
        <f>SUMIF($B$13:$Y$13,"Yes",B66:Y66)</f>
        <v>4937.142857142858</v>
      </c>
      <c r="AA66" s="46">
        <f>SUM(B66:M66)</f>
        <v>17280</v>
      </c>
      <c r="AB66" s="46">
        <f>SUM(B66:Y66)</f>
        <v>34560</v>
      </c>
    </row>
    <row r="67" spans="1:30" hidden="true" outlineLevel="1">
      <c r="A67" s="181" t="str">
        <f>Calculations!$A$4</f>
        <v>Maize</v>
      </c>
      <c r="B67" s="36">
        <f>N67</f>
        <v>2468.571428571429</v>
      </c>
      <c r="C67" s="36">
        <f>O67</f>
        <v>2468.571428571429</v>
      </c>
      <c r="D67" s="36">
        <f>P67</f>
        <v>2468.571428571429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2468.571428571429</v>
      </c>
      <c r="K67" s="36">
        <f>W67</f>
        <v>2468.571428571429</v>
      </c>
      <c r="L67" s="36">
        <f>X67</f>
        <v>2468.571428571429</v>
      </c>
      <c r="M67" s="36">
        <f>Y67</f>
        <v>2468.571428571429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2468.571428571429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2468.571428571429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2468.571428571429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2468.571428571429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2468.571428571429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2468.571428571429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2468.571428571429</v>
      </c>
      <c r="Z67" s="46">
        <f>SUMIF($B$13:$Y$13,"Yes",B67:Y67)</f>
        <v>4937.142857142858</v>
      </c>
      <c r="AA67" s="46">
        <f>SUM(B67:M67)</f>
        <v>17280</v>
      </c>
      <c r="AB67" s="46">
        <f>SUM(B67:Y67)</f>
        <v>34560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912.5</v>
      </c>
      <c r="C74" s="46">
        <f>SUM(Calculations!$Q$14:$Q$16)/12</f>
        <v>912.5</v>
      </c>
      <c r="D74" s="46">
        <f>SUM(Calculations!$Q$14:$Q$16)/12</f>
        <v>912.5</v>
      </c>
      <c r="E74" s="46">
        <f>SUM(Calculations!$Q$14:$Q$16)/12</f>
        <v>912.5</v>
      </c>
      <c r="F74" s="46">
        <f>SUM(Calculations!$Q$14:$Q$16)/12</f>
        <v>912.5</v>
      </c>
      <c r="G74" s="46">
        <f>SUM(Calculations!$Q$14:$Q$16)/12</f>
        <v>912.5</v>
      </c>
      <c r="H74" s="46">
        <f>SUM(Calculations!$Q$14:$Q$16)/12</f>
        <v>912.5</v>
      </c>
      <c r="I74" s="46">
        <f>SUM(Calculations!$Q$14:$Q$16)/12</f>
        <v>912.5</v>
      </c>
      <c r="J74" s="46">
        <f>SUM(Calculations!$Q$14:$Q$16)/12</f>
        <v>912.5</v>
      </c>
      <c r="K74" s="46">
        <f>SUM(Calculations!$Q$14:$Q$16)/12</f>
        <v>912.5</v>
      </c>
      <c r="L74" s="46">
        <f>SUM(Calculations!$Q$14:$Q$16)/12</f>
        <v>912.5</v>
      </c>
      <c r="M74" s="46">
        <f>SUM(Calculations!$Q$14:$Q$16)/12</f>
        <v>912.5</v>
      </c>
      <c r="N74" s="46">
        <f>SUM(Calculations!$Q$14:$Q$16)/12</f>
        <v>912.5</v>
      </c>
      <c r="O74" s="46">
        <f>SUM(Calculations!$Q$14:$Q$16)/12</f>
        <v>912.5</v>
      </c>
      <c r="P74" s="46">
        <f>SUM(Calculations!$Q$14:$Q$16)/12</f>
        <v>912.5</v>
      </c>
      <c r="Q74" s="46">
        <f>SUM(Calculations!$Q$14:$Q$16)/12</f>
        <v>912.5</v>
      </c>
      <c r="R74" s="46">
        <f>SUM(Calculations!$Q$14:$Q$16)/12</f>
        <v>912.5</v>
      </c>
      <c r="S74" s="46">
        <f>SUM(Calculations!$Q$14:$Q$16)/12</f>
        <v>912.5</v>
      </c>
      <c r="T74" s="46">
        <f>SUM(Calculations!$Q$14:$Q$16)/12</f>
        <v>912.5</v>
      </c>
      <c r="U74" s="46">
        <f>SUM(Calculations!$Q$14:$Q$16)/12</f>
        <v>912.5</v>
      </c>
      <c r="V74" s="46">
        <f>SUM(Calculations!$Q$14:$Q$16)/12</f>
        <v>912.5</v>
      </c>
      <c r="W74" s="46">
        <f>SUM(Calculations!$Q$14:$Q$16)/12</f>
        <v>912.5</v>
      </c>
      <c r="X74" s="46">
        <f>SUM(Calculations!$Q$14:$Q$16)/12</f>
        <v>912.5</v>
      </c>
      <c r="Y74" s="46">
        <f>SUM(Calculations!$Q$14:$Q$16)/12</f>
        <v>912.5</v>
      </c>
      <c r="Z74" s="46">
        <f>SUMIF($B$13:$Y$13,"Yes",B74:Y74)</f>
        <v>1825</v>
      </c>
      <c r="AA74" s="46">
        <f>SUM(B74:M74)</f>
        <v>10950</v>
      </c>
      <c r="AB74" s="46">
        <f>SUM(B74:Y74)</f>
        <v>21900</v>
      </c>
    </row>
    <row r="75" spans="1:30">
      <c r="A75" s="16" t="s">
        <v>47</v>
      </c>
      <c r="B75" s="46">
        <f>SUM(Calculations!$R$14:$R$16)/12</f>
        <v>200</v>
      </c>
      <c r="C75" s="46">
        <f>SUM(Calculations!$R$14:$R$16)/12</f>
        <v>200</v>
      </c>
      <c r="D75" s="46">
        <f>SUM(Calculations!$R$14:$R$16)/12</f>
        <v>200</v>
      </c>
      <c r="E75" s="46">
        <f>SUM(Calculations!$R$14:$R$16)/12</f>
        <v>200</v>
      </c>
      <c r="F75" s="46">
        <f>SUM(Calculations!$R$14:$R$16)/12</f>
        <v>200</v>
      </c>
      <c r="G75" s="46">
        <f>SUM(Calculations!$R$14:$R$16)/12</f>
        <v>200</v>
      </c>
      <c r="H75" s="46">
        <f>SUM(Calculations!$R$14:$R$16)/12</f>
        <v>200</v>
      </c>
      <c r="I75" s="46">
        <f>SUM(Calculations!$R$14:$R$16)/12</f>
        <v>200</v>
      </c>
      <c r="J75" s="46">
        <f>SUM(Calculations!$R$14:$R$16)/12</f>
        <v>200</v>
      </c>
      <c r="K75" s="46">
        <f>SUM(Calculations!$R$14:$R$16)/12</f>
        <v>200</v>
      </c>
      <c r="L75" s="46">
        <f>SUM(Calculations!$R$14:$R$16)/12</f>
        <v>200</v>
      </c>
      <c r="M75" s="46">
        <f>SUM(Calculations!$R$14:$R$16)/12</f>
        <v>200</v>
      </c>
      <c r="N75" s="46">
        <f>SUM(Calculations!$R$14:$R$16)/12</f>
        <v>200</v>
      </c>
      <c r="O75" s="46">
        <f>SUM(Calculations!$R$14:$R$16)/12</f>
        <v>200</v>
      </c>
      <c r="P75" s="46">
        <f>SUM(Calculations!$R$14:$R$16)/12</f>
        <v>200</v>
      </c>
      <c r="Q75" s="46">
        <f>SUM(Calculations!$R$14:$R$16)/12</f>
        <v>200</v>
      </c>
      <c r="R75" s="46">
        <f>SUM(Calculations!$R$14:$R$16)/12</f>
        <v>200</v>
      </c>
      <c r="S75" s="46">
        <f>SUM(Calculations!$R$14:$R$16)/12</f>
        <v>200</v>
      </c>
      <c r="T75" s="46">
        <f>SUM(Calculations!$R$14:$R$16)/12</f>
        <v>200</v>
      </c>
      <c r="U75" s="46">
        <f>SUM(Calculations!$R$14:$R$16)/12</f>
        <v>200</v>
      </c>
      <c r="V75" s="46">
        <f>SUM(Calculations!$R$14:$R$16)/12</f>
        <v>200</v>
      </c>
      <c r="W75" s="46">
        <f>SUM(Calculations!$R$14:$R$16)/12</f>
        <v>200</v>
      </c>
      <c r="X75" s="46">
        <f>SUM(Calculations!$R$14:$R$16)/12</f>
        <v>200</v>
      </c>
      <c r="Y75" s="46">
        <f>SUM(Calculations!$R$14:$R$16)/12</f>
        <v>200</v>
      </c>
      <c r="Z75" s="46">
        <f>SUMIF($B$13:$Y$13,"Yes",B75:Y75)</f>
        <v>400</v>
      </c>
      <c r="AA75" s="46">
        <f>SUM(B75:M75)</f>
        <v>2400</v>
      </c>
      <c r="AB75" s="46">
        <f>SUM(B75:Y75)</f>
        <v>4800</v>
      </c>
    </row>
    <row r="76" spans="1:30">
      <c r="A76" s="16" t="s">
        <v>48</v>
      </c>
      <c r="B76" s="46">
        <f>SUM(Calculations!$S$14:$S$16)/12</f>
        <v>300</v>
      </c>
      <c r="C76" s="46">
        <f>SUM(Calculations!$S$14:$S$16)/12</f>
        <v>300</v>
      </c>
      <c r="D76" s="46">
        <f>SUM(Calculations!$S$14:$S$16)/12</f>
        <v>300</v>
      </c>
      <c r="E76" s="46">
        <f>SUM(Calculations!$S$14:$S$16)/12</f>
        <v>300</v>
      </c>
      <c r="F76" s="46">
        <f>SUM(Calculations!$S$14:$S$16)/12</f>
        <v>300</v>
      </c>
      <c r="G76" s="46">
        <f>SUM(Calculations!$S$14:$S$16)/12</f>
        <v>300</v>
      </c>
      <c r="H76" s="46">
        <f>SUM(Calculations!$S$14:$S$16)/12</f>
        <v>300</v>
      </c>
      <c r="I76" s="46">
        <f>SUM(Calculations!$S$14:$S$16)/12</f>
        <v>300</v>
      </c>
      <c r="J76" s="46">
        <f>SUM(Calculations!$S$14:$S$16)/12</f>
        <v>300</v>
      </c>
      <c r="K76" s="46">
        <f>SUM(Calculations!$S$14:$S$16)/12</f>
        <v>300</v>
      </c>
      <c r="L76" s="46">
        <f>SUM(Calculations!$S$14:$S$16)/12</f>
        <v>300</v>
      </c>
      <c r="M76" s="46">
        <f>SUM(Calculations!$S$14:$S$16)/12</f>
        <v>300</v>
      </c>
      <c r="N76" s="46">
        <f>SUM(Calculations!$S$14:$S$16)/12</f>
        <v>300</v>
      </c>
      <c r="O76" s="46">
        <f>SUM(Calculations!$S$14:$S$16)/12</f>
        <v>300</v>
      </c>
      <c r="P76" s="46">
        <f>SUM(Calculations!$S$14:$S$16)/12</f>
        <v>300</v>
      </c>
      <c r="Q76" s="46">
        <f>SUM(Calculations!$S$14:$S$16)/12</f>
        <v>300</v>
      </c>
      <c r="R76" s="46">
        <f>SUM(Calculations!$S$14:$S$16)/12</f>
        <v>300</v>
      </c>
      <c r="S76" s="46">
        <f>SUM(Calculations!$S$14:$S$16)/12</f>
        <v>300</v>
      </c>
      <c r="T76" s="46">
        <f>SUM(Calculations!$S$14:$S$16)/12</f>
        <v>300</v>
      </c>
      <c r="U76" s="46">
        <f>SUM(Calculations!$S$14:$S$16)/12</f>
        <v>300</v>
      </c>
      <c r="V76" s="46">
        <f>SUM(Calculations!$S$14:$S$16)/12</f>
        <v>300</v>
      </c>
      <c r="W76" s="46">
        <f>SUM(Calculations!$S$14:$S$16)/12</f>
        <v>300</v>
      </c>
      <c r="X76" s="46">
        <f>SUM(Calculations!$S$14:$S$16)/12</f>
        <v>300</v>
      </c>
      <c r="Y76" s="46">
        <f>SUM(Calculations!$S$14:$S$16)/12</f>
        <v>300</v>
      </c>
      <c r="Z76" s="46">
        <f>SUMIF($B$13:$Y$13,"Yes",B76:Y76)</f>
        <v>600</v>
      </c>
      <c r="AA76" s="46">
        <f>SUM(B76:M76)</f>
        <v>3600</v>
      </c>
      <c r="AB76" s="46">
        <f>SUM(B76:Y76)</f>
        <v>7200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903.9151417264507</v>
      </c>
      <c r="C81" s="46">
        <f>(SUM($AA$18:$AA$29)-SUM($AA$36,$AA$42,$AA$48,$AA$54,$AA$60,$AA$66,$AA$72:$AA$79))*Parameters!$B$37/12</f>
        <v>903.9151417264507</v>
      </c>
      <c r="D81" s="46">
        <f>(SUM($AA$18:$AA$29)-SUM($AA$36,$AA$42,$AA$48,$AA$54,$AA$60,$AA$66,$AA$72:$AA$79))*Parameters!$B$37/12</f>
        <v>903.9151417264507</v>
      </c>
      <c r="E81" s="46">
        <f>(SUM($AA$18:$AA$29)-SUM($AA$36,$AA$42,$AA$48,$AA$54,$AA$60,$AA$66,$AA$72:$AA$79))*Parameters!$B$37/12</f>
        <v>903.9151417264507</v>
      </c>
      <c r="F81" s="46">
        <f>(SUM($AA$18:$AA$29)-SUM($AA$36,$AA$42,$AA$48,$AA$54,$AA$60,$AA$66,$AA$72:$AA$79))*Parameters!$B$37/12</f>
        <v>903.9151417264507</v>
      </c>
      <c r="G81" s="46">
        <f>(SUM($AA$18:$AA$29)-SUM($AA$36,$AA$42,$AA$48,$AA$54,$AA$60,$AA$66,$AA$72:$AA$79))*Parameters!$B$37/12</f>
        <v>903.9151417264507</v>
      </c>
      <c r="H81" s="46">
        <f>(SUM($AA$18:$AA$29)-SUM($AA$36,$AA$42,$AA$48,$AA$54,$AA$60,$AA$66,$AA$72:$AA$79))*Parameters!$B$37/12</f>
        <v>903.9151417264507</v>
      </c>
      <c r="I81" s="46">
        <f>(SUM($AA$18:$AA$29)-SUM($AA$36,$AA$42,$AA$48,$AA$54,$AA$60,$AA$66,$AA$72:$AA$79))*Parameters!$B$37/12</f>
        <v>903.9151417264507</v>
      </c>
      <c r="J81" s="46">
        <f>(SUM($AA$18:$AA$29)-SUM($AA$36,$AA$42,$AA$48,$AA$54,$AA$60,$AA$66,$AA$72:$AA$79))*Parameters!$B$37/12</f>
        <v>903.9151417264507</v>
      </c>
      <c r="K81" s="46">
        <f>(SUM($AA$18:$AA$29)-SUM($AA$36,$AA$42,$AA$48,$AA$54,$AA$60,$AA$66,$AA$72:$AA$79))*Parameters!$B$37/12</f>
        <v>903.9151417264507</v>
      </c>
      <c r="L81" s="46">
        <f>(SUM($AA$18:$AA$29)-SUM($AA$36,$AA$42,$AA$48,$AA$54,$AA$60,$AA$66,$AA$72:$AA$79))*Parameters!$B$37/12</f>
        <v>903.9151417264507</v>
      </c>
      <c r="M81" s="46">
        <f>(SUM($AA$18:$AA$29)-SUM($AA$36,$AA$42,$AA$48,$AA$54,$AA$60,$AA$66,$AA$72:$AA$79))*Parameters!$B$37/12</f>
        <v>903.9151417264507</v>
      </c>
      <c r="N81" s="46">
        <f>(SUM($AA$18:$AA$29)-SUM($AA$36,$AA$42,$AA$48,$AA$54,$AA$60,$AA$66,$AA$72:$AA$79))*Parameters!$B$37/12</f>
        <v>903.9151417264507</v>
      </c>
      <c r="O81" s="46">
        <f>(SUM($AA$18:$AA$29)-SUM($AA$36,$AA$42,$AA$48,$AA$54,$AA$60,$AA$66,$AA$72:$AA$79))*Parameters!$B$37/12</f>
        <v>903.9151417264507</v>
      </c>
      <c r="P81" s="46">
        <f>(SUM($AA$18:$AA$29)-SUM($AA$36,$AA$42,$AA$48,$AA$54,$AA$60,$AA$66,$AA$72:$AA$79))*Parameters!$B$37/12</f>
        <v>903.9151417264507</v>
      </c>
      <c r="Q81" s="46">
        <f>(SUM($AA$18:$AA$29)-SUM($AA$36,$AA$42,$AA$48,$AA$54,$AA$60,$AA$66,$AA$72:$AA$79))*Parameters!$B$37/12</f>
        <v>903.9151417264507</v>
      </c>
      <c r="R81" s="46">
        <f>(SUM($AA$18:$AA$29)-SUM($AA$36,$AA$42,$AA$48,$AA$54,$AA$60,$AA$66,$AA$72:$AA$79))*Parameters!$B$37/12</f>
        <v>903.9151417264507</v>
      </c>
      <c r="S81" s="46">
        <f>(SUM($AA$18:$AA$29)-SUM($AA$36,$AA$42,$AA$48,$AA$54,$AA$60,$AA$66,$AA$72:$AA$79))*Parameters!$B$37/12</f>
        <v>903.9151417264507</v>
      </c>
      <c r="T81" s="46">
        <f>(SUM($AA$18:$AA$29)-SUM($AA$36,$AA$42,$AA$48,$AA$54,$AA$60,$AA$66,$AA$72:$AA$79))*Parameters!$B$37/12</f>
        <v>903.9151417264507</v>
      </c>
      <c r="U81" s="46">
        <f>(SUM($AA$18:$AA$29)-SUM($AA$36,$AA$42,$AA$48,$AA$54,$AA$60,$AA$66,$AA$72:$AA$79))*Parameters!$B$37/12</f>
        <v>903.9151417264507</v>
      </c>
      <c r="V81" s="46">
        <f>(SUM($AA$18:$AA$29)-SUM($AA$36,$AA$42,$AA$48,$AA$54,$AA$60,$AA$66,$AA$72:$AA$79))*Parameters!$B$37/12</f>
        <v>903.9151417264507</v>
      </c>
      <c r="W81" s="46">
        <f>(SUM($AA$18:$AA$29)-SUM($AA$36,$AA$42,$AA$48,$AA$54,$AA$60,$AA$66,$AA$72:$AA$79))*Parameters!$B$37/12</f>
        <v>903.9151417264507</v>
      </c>
      <c r="X81" s="46">
        <f>(SUM($AA$18:$AA$29)-SUM($AA$36,$AA$42,$AA$48,$AA$54,$AA$60,$AA$66,$AA$72:$AA$79))*Parameters!$B$37/12</f>
        <v>903.9151417264507</v>
      </c>
      <c r="Y81" s="46">
        <f>(SUM($AA$18:$AA$29)-SUM($AA$36,$AA$42,$AA$48,$AA$54,$AA$60,$AA$66,$AA$72:$AA$79))*Parameters!$B$37/12</f>
        <v>903.9151417264507</v>
      </c>
      <c r="Z81" s="46">
        <f>SUMIF($B$13:$Y$13,"Yes",B81:Y81)</f>
        <v>1807.830283452901</v>
      </c>
      <c r="AA81" s="46">
        <f>SUM(B81:M81)</f>
        <v>10846.98170071741</v>
      </c>
      <c r="AB81" s="46">
        <f>SUM(B81:Y81)</f>
        <v>21693.96340143482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7642.129427440737</v>
      </c>
      <c r="C88" s="19">
        <f>SUM(C72:C82,C66,C60,C54,C48,C42,C36)</f>
        <v>7642.129427440737</v>
      </c>
      <c r="D88" s="19">
        <f>SUM(D72:D82,D66,D60,D54,D48,D42,D36)</f>
        <v>25115.08933278811</v>
      </c>
      <c r="E88" s="19">
        <f>SUM(E72:E82,E66,E60,E54,E48,E42,E36)</f>
        <v>2316.415141726451</v>
      </c>
      <c r="F88" s="19">
        <f>SUM(F72:F82,F66,F60,F54,F48,F42,F36)</f>
        <v>2316.415141726451</v>
      </c>
      <c r="G88" s="19">
        <f>SUM(G72:G82,G66,G60,G54,G48,G42,G36)</f>
        <v>2316.415141726451</v>
      </c>
      <c r="H88" s="19">
        <f>SUM(H72:H82,H66,H60,H54,H48,H42,H36)</f>
        <v>2316.415141726451</v>
      </c>
      <c r="I88" s="19">
        <f>SUM(I72:I82,I66,I60,I54,I48,I42,I36)</f>
        <v>2316.415141726451</v>
      </c>
      <c r="J88" s="19">
        <f>SUM(J72:J82,J66,J60,J54,J48,J42,J36)</f>
        <v>16854.12942744074</v>
      </c>
      <c r="K88" s="19">
        <f>SUM(K72:K82,K66,K60,K54,K48,K42,K36)</f>
        <v>7642.129427440737</v>
      </c>
      <c r="L88" s="19">
        <f>SUM(L72:L82,L66,L60,L54,L48,L42,L36)</f>
        <v>7642.129427440737</v>
      </c>
      <c r="M88" s="19">
        <f>SUM(M72:M82,M66,M60,M54,M48,M42,M36)</f>
        <v>8842.129427440737</v>
      </c>
      <c r="N88" s="19">
        <f>SUM(N72:N82,N66,N60,N54,N48,N42,N36)</f>
        <v>7642.129427440737</v>
      </c>
      <c r="O88" s="19">
        <f>SUM(O72:O82,O66,O60,O54,O48,O42,O36)</f>
        <v>7642.129427440737</v>
      </c>
      <c r="P88" s="19">
        <f>SUM(P72:P82,P66,P60,P54,P48,P42,P36)</f>
        <v>25115.08933278811</v>
      </c>
      <c r="Q88" s="19">
        <f>SUM(Q72:Q82,Q66,Q60,Q54,Q48,Q42,Q36)</f>
        <v>2316.415141726451</v>
      </c>
      <c r="R88" s="19">
        <f>SUM(R72:R82,R66,R60,R54,R48,R42,R36)</f>
        <v>2316.415141726451</v>
      </c>
      <c r="S88" s="19">
        <f>SUM(S72:S82,S66,S60,S54,S48,S42,S36)</f>
        <v>2316.415141726451</v>
      </c>
      <c r="T88" s="19">
        <f>SUM(T72:T82,T66,T60,T54,T48,T42,T36)</f>
        <v>2316.415141726451</v>
      </c>
      <c r="U88" s="19">
        <f>SUM(U72:U82,U66,U60,U54,U48,U42,U36)</f>
        <v>2316.415141726451</v>
      </c>
      <c r="V88" s="19">
        <f>SUM(V72:V82,V66,V60,V54,V48,V42,V36)</f>
        <v>16854.12942744074</v>
      </c>
      <c r="W88" s="19">
        <f>SUM(W72:W82,W66,W60,W54,W48,W42,W36)</f>
        <v>7642.129427440737</v>
      </c>
      <c r="X88" s="19">
        <f>SUM(X72:X82,X66,X60,X54,X48,X42,X36)</f>
        <v>7642.129427440737</v>
      </c>
      <c r="Y88" s="19">
        <f>SUM(Y72:Y82,Y66,Y60,Y54,Y48,Y42,Y36)</f>
        <v>8842.129427440737</v>
      </c>
      <c r="Z88" s="19">
        <f>SUMIF($B$13:$Y$13,"Yes",B88:Y88)</f>
        <v>15284.25885488147</v>
      </c>
      <c r="AA88" s="19">
        <f>SUM(B88:M88)</f>
        <v>92961.94160606481</v>
      </c>
      <c r="AB88" s="19">
        <f>SUM(B88:Y88)</f>
        <v>185923.8832121295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54000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800000</v>
      </c>
    </row>
    <row r="98" spans="1:30">
      <c r="A98" t="s">
        <v>64</v>
      </c>
      <c r="B98" s="36">
        <f>IF(Inputs!B44="Yes",Inputs!B45,0)</f>
        <v>1400000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3754000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130000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12</v>
      </c>
      <c r="D19" s="145"/>
      <c r="E19" s="20"/>
      <c r="F19" s="145" t="s">
        <v>109</v>
      </c>
      <c r="G19" s="20"/>
      <c r="H19" s="20"/>
      <c r="I19" s="145" t="s">
        <v>110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40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1400000</v>
      </c>
    </row>
    <row r="46" spans="1:48" customHeight="1" ht="30">
      <c r="A46" s="57" t="s">
        <v>131</v>
      </c>
      <c r="B46" s="161">
        <v>200000</v>
      </c>
    </row>
    <row r="47" spans="1:48" customHeight="1" ht="30">
      <c r="A47" s="57" t="s">
        <v>132</v>
      </c>
      <c r="B47" s="161">
        <v>200000</v>
      </c>
    </row>
    <row r="48" spans="1:48" customHeight="1" ht="30">
      <c r="A48" s="57" t="s">
        <v>133</v>
      </c>
      <c r="B48" s="161">
        <v>1000000</v>
      </c>
    </row>
    <row r="49" spans="1:48" customHeight="1" ht="30">
      <c r="A49" s="57" t="s">
        <v>134</v>
      </c>
      <c r="B49" s="161">
        <v>100000</v>
      </c>
    </row>
    <row r="50" spans="1:48">
      <c r="A50" s="43"/>
      <c r="B50" s="36"/>
    </row>
    <row r="51" spans="1:48">
      <c r="A51" s="58" t="s">
        <v>135</v>
      </c>
      <c r="B51" s="161">
        <v>30000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2130</v>
      </c>
      <c r="B56" s="159">
        <v>0</v>
      </c>
      <c r="C56" s="162" t="s">
        <v>143</v>
      </c>
      <c r="D56" s="163" t="s">
        <v>144</v>
      </c>
      <c r="E56" s="163" t="s">
        <v>109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 t="s">
        <v>149</v>
      </c>
      <c r="B66" s="159">
        <v>252675</v>
      </c>
      <c r="C66" s="163">
        <v>193839</v>
      </c>
      <c r="D66" s="49">
        <f>INDEX(Parameters!$D$79:$D$90,MATCH(Inputs!A66,Parameters!$C$79:$C$90,0))</f>
        <v>11</v>
      </c>
    </row>
    <row r="67" spans="1:48">
      <c r="A67" s="143" t="s">
        <v>94</v>
      </c>
      <c r="B67" s="157">
        <v>39757</v>
      </c>
      <c r="C67" s="165">
        <v>26879</v>
      </c>
      <c r="D67" s="49">
        <f>INDEX(Parameters!$D$79:$D$90,MATCH(Inputs!A67,Parameters!$C$79:$C$90,0))</f>
        <v>12</v>
      </c>
    </row>
    <row r="68" spans="1:48">
      <c r="A68" s="143" t="s">
        <v>150</v>
      </c>
      <c r="B68" s="157">
        <v>77077</v>
      </c>
      <c r="C68" s="165">
        <v>53452</v>
      </c>
      <c r="D68" s="49">
        <f>INDEX(Parameters!$D$79:$D$90,MATCH(Inputs!A68,Parameters!$C$79:$C$90,0))</f>
        <v>1</v>
      </c>
    </row>
    <row r="69" spans="1:48">
      <c r="A69" s="143" t="s">
        <v>151</v>
      </c>
      <c r="B69" s="157">
        <v>29600</v>
      </c>
      <c r="C69" s="165">
        <v>17627</v>
      </c>
      <c r="D69" s="49">
        <f>INDEX(Parameters!$D$79:$D$90,MATCH(Inputs!A69,Parameters!$C$79:$C$90,0))</f>
        <v>2</v>
      </c>
    </row>
    <row r="70" spans="1:48">
      <c r="A70" s="143" t="s">
        <v>152</v>
      </c>
      <c r="B70" s="157">
        <v>61950</v>
      </c>
      <c r="C70" s="165">
        <v>45317</v>
      </c>
      <c r="D70" s="49">
        <f>INDEX(Parameters!$D$79:$D$90,MATCH(Inputs!A70,Parameters!$C$79:$C$90,0))</f>
        <v>3</v>
      </c>
    </row>
    <row r="71" spans="1:48">
      <c r="A71" s="144" t="s">
        <v>153</v>
      </c>
      <c r="B71" s="158">
        <v>101100</v>
      </c>
      <c r="C71" s="167">
        <v>79394</v>
      </c>
      <c r="D71" s="49">
        <f>INDEX(Parameters!$D$79:$D$90,MATCH(Inputs!A71,Parameters!$C$79:$C$90,0))</f>
        <v>4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19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3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43160</v>
      </c>
      <c r="D4" s="38">
        <f>IFERROR(DATE(YEAR(B4),MONTH(B4)+T4,DAY(B4)),"")</f>
        <v>43252</v>
      </c>
      <c r="E4" s="38">
        <f>IFERROR(IF($S4=0,"",IF($S4=2,DATE(YEAR(B4),MONTH(B4)+6,DAY(B4)),IF($S4=1,B4,""))),"")</f>
        <v>43070</v>
      </c>
      <c r="F4" s="38">
        <f>IFERROR(IF($S4=0,"",IF($S4=2,DATE(YEAR(C4),MONTH(C4)+6,DAY(C4)),IF($S4=1,C4,""))),"")</f>
        <v>43160</v>
      </c>
      <c r="G4" s="38">
        <f>IFERROR(IF($S4=0,"",IF($S4=2,DATE(YEAR(D4),MONTH(D4)+6,DAY(D4)),IF($S4=1,D4,""))),"")</f>
        <v>43252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3798.469544640734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75779.46741558264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10000</v>
      </c>
      <c r="AA4" s="33">
        <f>IFERROR(IF(Inputs!N7&gt;0,INDEX(Parameters!$A$3:$AI$17,MATCH(Calculations!A4,Parameters!$A$3:$A$17,0),MATCH(Parameters!$R$3,Parameters!$A$3:$AI$3,0)),0)*M4/S4,0)</f>
        <v>8736.479952673688</v>
      </c>
      <c r="AB4" s="33">
        <f>H4*IFERROR(INDEX(Parameters!$A$3:$AI$17,MATCH(Calculations!A4,Parameters!$A$3:$A$17,0),MATCH(Parameters!$O$3,Parameters!$A$3:$AI$3,0)),AVERAGE(Parameters!$O$4:$O$17))*(1-Inputs!$B$25/100)</f>
        <v>14400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4</v>
      </c>
      <c r="AD5" s="22">
        <f>IF($A5=0,1/12,IFERROR(INDEX(Parameters!$X$2:$AI$17,MATCH(Calculations!$A5,Parameters!$A$2:$A$17,0),MONTH(Calculations!AD$3)),1/12))</f>
        <v>5</v>
      </c>
      <c r="AE5" s="22">
        <f>IF($A5=0,1/12,IFERROR(INDEX(Parameters!$X$2:$AI$17,MATCH(Calculations!$A5,Parameters!$A$2:$A$17,0),MONTH(Calculations!AE$3)),1/12))</f>
        <v>6</v>
      </c>
      <c r="AF5" s="22">
        <f>IF($A5=0,1/12,IFERROR(INDEX(Parameters!$X$2:$AI$17,MATCH(Calculations!$A5,Parameters!$A$2:$A$17,0),MONTH(Calculations!AF$3)),1/12))</f>
        <v>7</v>
      </c>
      <c r="AG5" s="22">
        <f>IF($A5=0,1/12,IFERROR(INDEX(Parameters!$X$2:$AI$17,MATCH(Calculations!$A5,Parameters!$A$2:$A$17,0),MONTH(Calculations!AG$3)),1/12))</f>
        <v>8</v>
      </c>
      <c r="AH5" s="22">
        <f>IF($A5=0,1/12,IFERROR(INDEX(Parameters!$X$2:$AI$17,MATCH(Calculations!$A5,Parameters!$A$2:$A$17,0),MONTH(Calculations!AH$3)),1/12))</f>
        <v>9</v>
      </c>
      <c r="AI5" s="22">
        <f>IF($A5=0,1/12,IFERROR(INDEX(Parameters!$X$2:$AI$17,MATCH(Calculations!$A5,Parameters!$A$2:$A$17,0),MONTH(Calculations!AI$3)),1/12))</f>
        <v>10</v>
      </c>
      <c r="AJ5" s="22">
        <f>IF($A5=0,1/12,IFERROR(INDEX(Parameters!$X$2:$AI$17,MATCH(Calculations!$A5,Parameters!$A$2:$A$17,0),MONTH(Calculations!AJ$3)),1/12))</f>
        <v>11</v>
      </c>
      <c r="AK5" s="22">
        <f>IF($A5=0,1/12,IFERROR(INDEX(Parameters!$X$2:$AI$17,MATCH(Calculations!$A5,Parameters!$A$2:$A$17,0),MONTH(Calculations!AK$3)),1/12))</f>
        <v>12</v>
      </c>
      <c r="AL5" s="22">
        <f>IF($A5=0,1/12,IFERROR(INDEX(Parameters!$X$2:$AI$17,MATCH(Calculations!$A5,Parameters!$A$2:$A$17,0),MONTH(Calculations!AL$3)),1/12))</f>
        <v>1</v>
      </c>
      <c r="AM5" s="22">
        <f>IF($A5=0,1/12,IFERROR(INDEX(Parameters!$X$2:$AI$17,MATCH(Calculations!$A5,Parameters!$A$2:$A$17,0),MONTH(Calculations!AM$3)),1/12))</f>
        <v>2</v>
      </c>
      <c r="AN5" s="22">
        <f>IF($A5=0,1/12,IFERROR(INDEX(Parameters!$X$2:$AI$17,MATCH(Calculations!$A5,Parameters!$A$2:$A$17,0),MONTH(Calculations!AN$3)),1/12))</f>
        <v>3</v>
      </c>
      <c r="AO5" s="22">
        <f>IF($A5=0,1/12,IFERROR(INDEX(Parameters!$X$2:$AI$17,MATCH(Calculations!$A5,Parameters!$A$2:$A$17,0),MONTH(Calculations!AO$3)),1/12))</f>
        <v>4</v>
      </c>
      <c r="AP5" s="22">
        <f>IF($A5=0,1/12,IFERROR(INDEX(Parameters!$X$2:$AI$17,MATCH(Calculations!$A5,Parameters!$A$2:$A$17,0),MONTH(Calculations!AP$3)),1/12))</f>
        <v>5</v>
      </c>
      <c r="AQ5" s="22">
        <f>IF($A5=0,1/12,IFERROR(INDEX(Parameters!$X$2:$AI$17,MATCH(Calculations!$A5,Parameters!$A$2:$A$17,0),MONTH(Calculations!AQ$3)),1/12))</f>
        <v>6</v>
      </c>
      <c r="AR5" s="22">
        <f>IF($A5=0,1/12,IFERROR(INDEX(Parameters!$X$2:$AI$17,MATCH(Calculations!$A5,Parameters!$A$2:$A$17,0),MONTH(Calculations!AR$3)),1/12))</f>
        <v>7</v>
      </c>
      <c r="AS5" s="22">
        <f>IF($A5=0,1/12,IFERROR(INDEX(Parameters!$X$2:$AI$17,MATCH(Calculations!$A5,Parameters!$A$2:$A$17,0),MONTH(Calculations!AS$3)),1/12))</f>
        <v>8</v>
      </c>
      <c r="AT5" s="22">
        <f>IF($A5=0,1/12,IFERROR(INDEX(Parameters!$X$2:$AI$17,MATCH(Calculations!$A5,Parameters!$A$2:$A$17,0),MONTH(Calculations!AT$3)),1/12))</f>
        <v>9</v>
      </c>
      <c r="AU5" s="22">
        <f>IF($A5=0,1/12,IFERROR(INDEX(Parameters!$X$2:$AI$17,MATCH(Calculations!$A5,Parameters!$A$2:$A$17,0),MONTH(Calculations!AU$3)),1/12))</f>
        <v>10</v>
      </c>
      <c r="AV5" s="22">
        <f>IF($A5=0,1/12,IFERROR(INDEX(Parameters!$X$2:$AI$17,MATCH(Calculations!$A5,Parameters!$A$2:$A$17,0),MONTH(Calculations!AV$3)),1/12))</f>
        <v>11</v>
      </c>
      <c r="AW5" s="22">
        <f>IF($A5=0,1/12,IFERROR(INDEX(Parameters!$X$2:$AI$17,MATCH(Calculations!$A5,Parameters!$A$2:$A$17,0),MONTH(Calculations!AW$3)),1/12))</f>
        <v>12</v>
      </c>
      <c r="AX5" s="22">
        <f>IF($A5=0,1/12,IFERROR(INDEX(Parameters!$X$2:$AI$17,MATCH(Calculations!$A5,Parameters!$A$2:$A$17,0),MONTH(Calculations!AX$3)),1/12))</f>
        <v>1</v>
      </c>
      <c r="AY5" s="22">
        <f>IF($A5=0,1/12,IFERROR(INDEX(Parameters!$X$2:$AI$17,MATCH(Calculations!$A5,Parameters!$A$2:$A$17,0),MONTH(Calculations!AY$3)),1/12))</f>
        <v>2</v>
      </c>
      <c r="AZ5" s="22">
        <f>IF($A5=0,1/12,IFERROR(INDEX(Parameters!$X$2:$AI$17,MATCH(Calculations!$A5,Parameters!$A$2:$A$17,0),MONTH(Calculations!AZ$3)),1/12))</f>
        <v>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12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1.15</v>
      </c>
      <c r="H14" s="121">
        <f>IFERROR(IF(B14="meat",INDEX(Parameters!$A$22:$P$29,MATCH(Calculations!A14,Parameters!$A$22:$A$29,0),MATCH(Parameters!$I$22,Parameters!$A$22:$P$22,0))*G14,""),"")</f>
        <v>17.25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25875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</v>
      </c>
      <c r="R14" s="63">
        <f>IFERROR(D14*INDEX(Parameters!$A$22:$P$29,MATCH(Calculations!$A14,Parameters!$A$22:$A$29,0),MATCH(Parameters!$M$22,Parameters!$A$22:$P$22,0)),"")</f>
        <v>2400</v>
      </c>
      <c r="S14" s="63">
        <f>IFERROR(D14*INDEX(Parameters!$A$22:$P$29,MATCH(Calculations!$A14,Parameters!$A$22:$A$29,0),MATCH(Parameters!$N$22,Parameters!$A$22:$P$22,0)),"")</f>
        <v>3600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2130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43746</v>
      </c>
      <c r="C33" s="27">
        <f>IF(B33&lt;&gt;"",IF(COUNT($A$33:A33)&lt;=$G$39,0,$G$41)+IF(COUNT($A$33:A33)&lt;=$G$40,0,$G$42),0)</f>
        <v>26500</v>
      </c>
      <c r="D33" s="170">
        <f>IFERROR(DATE(YEAR(B33),MONTH(B33),1)," ")</f>
        <v>43739</v>
      </c>
      <c r="F33" t="s">
        <v>159</v>
      </c>
      <c r="G33" s="128">
        <f>IF(Inputs!B79="","",DATE(YEAR(Inputs!B79),MONTH(Inputs!B79),DAY(Inputs!B79)))</f>
        <v>42860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43777</v>
      </c>
      <c r="C34" s="27">
        <f>IF(B34&lt;&gt;"",IF(COUNT($A$33:A34)&lt;=$G$39,0,$G$41)+IF(COUNT($A$33:A34)&lt;=$G$40,0,$G$42),0)</f>
        <v>26500</v>
      </c>
      <c r="D34" s="170">
        <f>IFERROR(DATE(YEAR(B34),MONTH(B34),1)," ")</f>
        <v>43770</v>
      </c>
      <c r="F34" t="s">
        <v>161</v>
      </c>
      <c r="G34" s="128">
        <f>IF(Inputs!B80="","",DATE(YEAR(Inputs!B80),MONTH(Inputs!B80),DAY(Inputs!B80)))</f>
        <v>43746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43807</v>
      </c>
      <c r="C35" s="27">
        <f>IF(B35&lt;&gt;"",IF(COUNT($A$33:A35)&lt;=$G$39,0,$G$41)+IF(COUNT($A$33:A35)&lt;=$G$40,0,$G$42),0)</f>
        <v>26500</v>
      </c>
      <c r="D35" s="170">
        <f>IFERROR(DATE(YEAR(B35),MONTH(B35),1)," ")</f>
        <v>43800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43838</v>
      </c>
      <c r="C36" s="27">
        <f>IF(B36&lt;&gt;"",IF(COUNT($A$33:A36)&lt;=$G$39,0,$G$41)+IF(COUNT($A$33:A36)&lt;=$G$40,0,$G$42),0)</f>
        <v>26500</v>
      </c>
      <c r="D36" s="170">
        <f>IFERROR(DATE(YEAR(B36),MONTH(B36),1)," ")</f>
        <v>43831</v>
      </c>
      <c r="F36" t="s">
        <v>164</v>
      </c>
      <c r="G36" s="130">
        <f>Inputs!B82/100</f>
        <v>0.18</v>
      </c>
    </row>
    <row r="37" spans="1:52">
      <c r="A37">
        <f>A36+1</f>
        <v>5</v>
      </c>
      <c r="B37" s="128" t="str">
        <f>IFERROR(IF(COUNT($A$33:A37)&lt;=$G$38,IF($G$37="Monthly",DATE(YEAR(B36),MONTH(B36)+1,MIN(DAY(B36),28)),B36+14),""),"")</f>
        <v/>
      </c>
      <c r="C37" s="27">
        <f>IF(B37&lt;&gt;"",IF(COUNT($A$33:A37)&lt;=$G$39,0,$G$41)+IF(COUNT($A$33:A37)&lt;=$G$40,0,$G$42),0)</f>
        <v>0</v>
      </c>
      <c r="D37" s="170" t="str">
        <f>IFERROR(DATE(YEAR(B37),MONTH(B37),1)," ")</f>
        <v> 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 t="str">
        <f>IFERROR(IF(COUNT($A$33:A38)&lt;=$G$38,IF($G$37="Monthly",DATE(YEAR(B37),MONTH(B37)+1,MIN(DAY(B37),28)),B37+14),""),"")</f>
        <v/>
      </c>
      <c r="C38" s="27">
        <f>IF(B38&lt;&gt;"",IF(COUNT($A$33:A38)&lt;=$G$39,0,$G$41)+IF(COUNT($A$33:A38)&lt;=$G$40,0,$G$42),0)</f>
        <v>0</v>
      </c>
      <c r="D38" s="170" t="str">
        <f>IFERROR(DATE(YEAR(B38),MONTH(B38),1)," ")</f>
        <v> </v>
      </c>
      <c r="F38" t="s">
        <v>226</v>
      </c>
      <c r="G38" s="27">
        <f>IFERROR(Inputs!B85/Inputs!B84,"")</f>
        <v>4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227</v>
      </c>
      <c r="G41" s="73">
        <f>IFERROR(G35/(G38-G39),"")</f>
        <v>25000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228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96</v>
      </c>
      <c r="B41" s="191" t="s">
        <v>109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314</v>
      </c>
      <c r="H52" s="12" t="s">
        <v>128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109</v>
      </c>
      <c r="F77" s="12" t="s">
        <v>109</v>
      </c>
      <c r="G77" s="12" t="s">
        <v>350</v>
      </c>
      <c r="H77" s="12" t="s">
        <v>128</v>
      </c>
      <c r="I77" s="12" t="s">
        <v>351</v>
      </c>
      <c r="J77" s="136" t="s">
        <v>352</v>
      </c>
      <c r="K77" s="12" t="s">
        <v>109</v>
      </c>
      <c r="AJ77" s="12"/>
    </row>
    <row r="78" spans="1:36">
      <c r="A78" t="s">
        <v>109</v>
      </c>
      <c r="B78" s="176">
        <v>5</v>
      </c>
      <c r="C78" s="134" t="s">
        <v>353</v>
      </c>
      <c r="D78" s="133"/>
      <c r="E78" s="12" t="s">
        <v>354</v>
      </c>
      <c r="F78" s="12" t="s">
        <v>93</v>
      </c>
      <c r="G78" s="12" t="s">
        <v>110</v>
      </c>
      <c r="H78" s="12" t="s">
        <v>315</v>
      </c>
      <c r="I78" s="12" t="s">
        <v>355</v>
      </c>
      <c r="J78" s="70" t="s">
        <v>356</v>
      </c>
      <c r="K78" s="12" t="s">
        <v>109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166</v>
      </c>
      <c r="J79" s="70" t="s">
        <v>360</v>
      </c>
      <c r="K79" s="12" t="s">
        <v>109</v>
      </c>
      <c r="AJ79" s="12"/>
    </row>
    <row r="80" spans="1:36">
      <c r="B80" s="176">
        <v>20</v>
      </c>
      <c r="C80" s="12" t="s">
        <v>151</v>
      </c>
      <c r="D80" s="12">
        <f>D79+1</f>
        <v>2</v>
      </c>
      <c r="E80" s="12" t="s">
        <v>91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368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