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<sst xmlns="http://schemas.openxmlformats.org/spreadsheetml/2006/main" uniqueCount="366">
  <si>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</si>
  <si>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</si>
  <si>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</si>
  <si>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</si>
  <si>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</si>
  <si>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</si>
  <si>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</si>
  <si>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</si>
  <si>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</si>
  <si>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</si>
  <si>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</si>
  <si>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</si>
  <si>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</si>
  <si>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</si>
  <si>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</si>
  <si>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</si>
  <si>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</si>
  <si>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</si>
  <si>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</si>
  <si>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</si>
  <si>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</si>
  <si>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</si>
  <si>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</si>
  <si>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</si>
  <si>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</si>
  <si>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</si>
  <si>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</si>
  <si>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</si>
  <si>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</si>
  <si>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</si>
  <si>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</si>
  <si>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</si>
  <si>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</si>
  <si>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</si>
  <si>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</si>
  <si>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</si>
  <si>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</si>
  <si>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</si>
  <si>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</si>
  <si>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</si>
  <si>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</si>
  <si>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</si>
  <si>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</si>
  <si>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</si>
  <si>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</si>
  <si>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</si>
  <si>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</si>
  <si>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</si>
  <si>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</si>
  <si>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</si>
  <si>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</si>
  <si>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</si>
  <si>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</si>
  <si>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</si>
  <si>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</si>
  <si>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</si>
  <si>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</si>
  <si>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</si>
  <si>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</si>
  <si>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</si>
  <si>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</si>
  <si>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</si>
  <si>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</si>
  <si>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</si>
  <si>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</si>
  <si>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</si>
  <si>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</si>
  <si>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</si>
  <si>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</si>
  <si>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</si>
  <si>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</si>
  <si>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</si>
  <si>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</si>
  <si>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</si>
  <si>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</si>
  <si>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</si>
  <si>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</si>
  <si>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</si>
  <si>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</si>
  <si>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</si>
  <si>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</si>
  <si>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</si>
  <si>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</si>
  <si>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</si>
  <si>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</si>
  <si>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</si>
  <si>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</si>
  <si>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</si>
  <si>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</si>
  <si>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</si>
  <si>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Shop_common variety</t>
  </si>
  <si>
    <t>Yes only manure</t>
  </si>
  <si>
    <t>No</t>
  </si>
  <si>
    <t>August</t>
  </si>
  <si>
    <t>Other crops</t>
  </si>
  <si>
    <t>Home recycled</t>
  </si>
  <si>
    <t>Yes both manure and inorganic</t>
  </si>
  <si>
    <t>Yes</t>
  </si>
  <si>
    <t>January</t>
  </si>
  <si>
    <t>Sweet potatoes</t>
  </si>
  <si>
    <t>October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</si>
  <si>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</si>
  <si>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</si>
  <si>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</si>
  <si>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</si>
  <si>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</si>
  <si>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</si>
  <si>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</si>
  <si>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</si>
  <si>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</si>
  <si>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</si>
  <si>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</si>
  <si>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</si>
  <si>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</si>
  <si>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</si>
  <si>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</si>
  <si>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</si>
  <si>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</si>
  <si>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Employed- Chief accountant Gillys Hotel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</si>
  <si>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</si>
  <si>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</si>
  <si>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</si>
  <si>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</si>
  <si>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</si>
  <si>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</si>
  <si>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</si>
  <si>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</si>
  <si>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</si>
  <si>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</si>
  <si>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</si>
  <si>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April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</si>
  <si>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</si>
  <si>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</si>
  <si>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</si>
  <si>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</si>
  <si>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</si>
  <si>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</si>
  <si>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</si>
  <si>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</si>
  <si>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</si>
  <si>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</si>
  <si>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</si>
  <si>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</si>
  <si>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</si>
  <si>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</si>
  <si>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</si>
  <si>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</si>
  <si>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</si>
  <si>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</si>
  <si>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</si>
  <si>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May</t>
  </si>
  <si>
    <t>June</t>
  </si>
  <si>
    <t>July</t>
  </si>
  <si>
    <t>September</t>
  </si>
  <si>
    <t>Loan info</t>
  </si>
  <si>
    <t>Branch ID</t>
  </si>
  <si>
    <t>Submission date</t>
  </si>
  <si>
    <t>2017/5/7</t>
  </si>
  <si>
    <t>Loan terms</t>
  </si>
  <si>
    <t>Expected disbursement date</t>
  </si>
  <si>
    <t>2017/5/18</t>
  </si>
  <si>
    <t>Expected first repayment date</t>
  </si>
  <si>
    <t>2017/6/20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</si>
  <si>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</si>
  <si>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</si>
  <si>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</si>
  <si>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</si>
  <si>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</si>
  <si>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</si>
  <si>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</si>
  <si>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</si>
  <si>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</si>
  <si>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</si>
  <si>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</si>
  <si>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</si>
  <si>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</si>
  <si>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</si>
  <si>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</si>
  <si>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</si>
  <si>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</si>
  <si>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</si>
  <si>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</si>
  <si>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</si>
  <si>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</si>
  <si>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</si>
  <si>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</si>
  <si>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</si>
  <si>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</si>
  <si>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</si>
  <si>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</si>
  <si>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</si>
  <si>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</si>
  <si>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</si>
  <si>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</si>
  <si>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</si>
  <si>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</si>
  <si>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</si>
  <si>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</si>
  <si>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</si>
  <si>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</si>
  <si>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</si>
  <si>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</si>
  <si>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</si>
  <si>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</si>
  <si>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</si>
  <si>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</si>
  <si>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</si>
  <si>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</si>
  <si>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</si>
  <si>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</si>
  <si>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</si>
  <si>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</si>
  <si>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</si>
  <si>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</si>
  <si>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</si>
  <si>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</si>
  <si>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</si>
  <si>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</si>
  <si>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</si>
  <si>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</si>
  <si>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</si>
  <si>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</si>
  <si>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</si>
  <si>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</si>
  <si>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</si>
  <si>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</si>
  <si>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</si>
  <si>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</si>
  <si>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</si>
  <si>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</si>
  <si>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</si>
  <si>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</si>
  <si>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</si>
  <si>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</si>
  <si>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</si>
  <si>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</si>
  <si>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</si>
  <si>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</si>
  <si>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</si>
  <si>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</si>
  <si>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</si>
  <si>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</si>
  <si>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</si>
  <si>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</si>
  <si>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</si>
  <si>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</si>
  <si>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</si>
  <si>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</si>
  <si>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</si>
  <si>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</si>
  <si>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</si>
  <si>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</si>
  <si>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</si>
  <si>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</si>
  <si>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</si>
  <si>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</si>
  <si>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</si>
  <si>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</si>
  <si>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</si>
  <si>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</si>
  <si>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</si>
  <si>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</si>
  <si>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</si>
  <si>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</si>
  <si>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</si>
  <si>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</si>
  <si>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</si>
  <si>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</si>
  <si>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</si>
  <si>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</si>
  <si>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</si>
  <si>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</si>
  <si>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</si>
  <si>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</si>
  <si>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</si>
  <si>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</si>
  <si>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</si>
  <si>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</si>
  <si>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</si>
  <si>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</si>
  <si>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</si>
  <si>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</si>
  <si>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</si>
  <si>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</si>
  <si>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</si>
  <si>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</si>
  <si>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</si>
  <si>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</si>
  <si>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</si>
  <si>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</si>
  <si>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</si>
  <si>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</si>
  <si>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</si>
  <si>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</si>
  <si>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</si>
  <si>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</si>
  <si>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</si>
  <si>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</si>
  <si>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</si>
  <si>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</si>
  <si>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</si>
  <si>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</si>
  <si>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</si>
  <si>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</si>
  <si>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</si>
  <si>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</si>
  <si>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</si>
  <si>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</si>
  <si>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</si>
  <si>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</si>
  <si>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</si>
  <si>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</si>
  <si>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</si>
  <si>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</si>
  <si>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</si>
  <si>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</si>
  <si>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</si>
  <si>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</si>
  <si>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</si>
  <si>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</si>
  <si>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</si>
  <si>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</si>
  <si>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</si>
  <si>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</si>
  <si>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</si>
  <si>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</si>
  <si>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</si>
  <si>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</si>
  <si>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</si>
  <si>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</si>
  <si>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</si>
  <si>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</si>
  <si>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</si>
  <si>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</si>
  <si>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</si>
  <si>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</si>
  <si>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</si>
  <si>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</si>
  <si>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</si>
  <si>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</si>
  <si>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</si>
  <si>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</si>
  <si>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</si>
  <si>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</si>
  <si>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</si>
  <si>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</si>
  <si>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</si>
  <si>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</si>
  <si>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</si>
  <si>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</si>
  <si>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</si>
  <si>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</si>
  <si>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</si>
  <si>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</si>
  <si>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</si>
  <si>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</si>
  <si>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</si>
  <si>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</si>
  <si>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</si>
  <si>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February</t>
  </si>
  <si>
    <t>Yes without the use of a pump</t>
  </si>
  <si>
    <t>Shop_certified variety</t>
  </si>
  <si>
    <t>March</t>
  </si>
  <si>
    <t>NGO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</si>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</sst>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Sweet potatoes,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Employed- Chief accountant Gillys Hotel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0.9598281244860259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0.1751313485113835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11333.33333333333</v>
      </c>
    </row>
    <row r="17" spans="1:7">
      <c r="B17" s="1" t="s">
        <v>11</v>
      </c>
      <c r="C17" s="36">
        <f>SUM(Output!B6:M6)</f>
        <v>35788.19999999998</v>
      </c>
    </row>
    <row r="18" spans="1:7">
      <c r="B18" s="1" t="s">
        <v>12</v>
      </c>
      <c r="C18" s="36">
        <f>MIN(Output!B6:M6)</f>
        <v>-40103.43333333333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29793.01666666667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-2103.433333333334</v>
      </c>
      <c r="C6" s="51">
        <f>C30-C88</f>
        <v>-3103.433333333334</v>
      </c>
      <c r="D6" s="51">
        <f>D30-D88</f>
        <v>-2103.433333333334</v>
      </c>
      <c r="E6" s="51">
        <f>E30-E88</f>
        <v>24711.81666666667</v>
      </c>
      <c r="F6" s="51">
        <f>F30-F88</f>
        <v>29793.01666666667</v>
      </c>
      <c r="G6" s="51">
        <f>G30-G88</f>
        <v>-15103.43333333333</v>
      </c>
      <c r="H6" s="51">
        <f>H30-H88</f>
        <v>-2103.433333333334</v>
      </c>
      <c r="I6" s="51">
        <f>I30-I88</f>
        <v>-3103.433333333334</v>
      </c>
      <c r="J6" s="51">
        <f>J30-J88</f>
        <v>-10103.43333333333</v>
      </c>
      <c r="K6" s="51">
        <f>K30-K88</f>
        <v>29317.81666666667</v>
      </c>
      <c r="L6" s="51">
        <f>L30-L88</f>
        <v>29793.01666666667</v>
      </c>
      <c r="M6" s="51">
        <f>M30-M88</f>
        <v>-40103.43333333333</v>
      </c>
      <c r="N6" s="51">
        <f>N30-N88</f>
        <v>-2103.433333333334</v>
      </c>
      <c r="O6" s="51">
        <f>O30-O88</f>
        <v>-3103.433333333334</v>
      </c>
      <c r="P6" s="51">
        <f>P30-P88</f>
        <v>-2103.433333333334</v>
      </c>
      <c r="Q6" s="51">
        <f>Q30-Q88</f>
        <v>24711.81666666667</v>
      </c>
      <c r="R6" s="51">
        <f>R30-R88</f>
        <v>29793.01666666667</v>
      </c>
      <c r="S6" s="51">
        <f>S30-S88</f>
        <v>-15103.43333333333</v>
      </c>
      <c r="T6" s="51">
        <f>T30-T88</f>
        <v>-2103.433333333334</v>
      </c>
      <c r="U6" s="51">
        <f>U30-U88</f>
        <v>-3103.433333333334</v>
      </c>
      <c r="V6" s="51">
        <f>V30-V88</f>
        <v>-10103.43333333333</v>
      </c>
      <c r="W6" s="51">
        <f>W30-W88</f>
        <v>29317.81666666667</v>
      </c>
      <c r="X6" s="51">
        <f>X30-X88</f>
        <v>29793.01666666667</v>
      </c>
      <c r="Y6" s="51">
        <f>Y30-Y88</f>
        <v>-40103.43333333333</v>
      </c>
      <c r="Z6" s="51">
        <f>SUMIF($B$13:$Y$13,"Yes",B6:Y6)</f>
        <v>71576.39999999997</v>
      </c>
      <c r="AA6" s="51">
        <f>AA30-AA88</f>
        <v>35788.1999999999</v>
      </c>
      <c r="AB6" s="51">
        <f>AB30-AB88</f>
        <v>71576.39999999979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32000</v>
      </c>
      <c r="C7" s="80">
        <f>IF(ISERROR(VLOOKUP(MONTH(C5),Inputs!$D$66:$D$71,1,0)),"",INDEX(Inputs!$B$66:$B$71,MATCH(MONTH(Output!C5),Inputs!$D$66:$D$71,0))-INDEX(Inputs!$C$66:$C$71,MATCH(MONTH(Output!C5),Inputs!$D$66:$D$71,0)))</f>
        <v>26000</v>
      </c>
      <c r="D7" s="80">
        <f>IF(ISERROR(VLOOKUP(MONTH(D5),Inputs!$D$66:$D$71,1,0)),"",INDEX(Inputs!$B$66:$B$71,MATCH(MONTH(Output!D5),Inputs!$D$66:$D$71,0))-INDEX(Inputs!$C$66:$C$71,MATCH(MONTH(Output!D5),Inputs!$D$66:$D$71,0)))</f>
        <v>50000</v>
      </c>
      <c r="E7" s="80">
        <f>IF(ISERROR(VLOOKUP(MONTH(E5),Inputs!$D$66:$D$71,1,0)),"",INDEX(Inputs!$B$66:$B$71,MATCH(MONTH(Output!E5),Inputs!$D$66:$D$71,0))-INDEX(Inputs!$C$66:$C$71,MATCH(MONTH(Output!E5),Inputs!$D$66:$D$71,0)))</f>
        <v>-2000</v>
      </c>
      <c r="F7" s="80">
        <f>IF(ISERROR(VLOOKUP(MONTH(F5),Inputs!$D$66:$D$71,1,0)),"",INDEX(Inputs!$B$66:$B$71,MATCH(MONTH(Output!F5),Inputs!$D$66:$D$71,0))-INDEX(Inputs!$C$66:$C$71,MATCH(MONTH(Output!F5),Inputs!$D$66:$D$71,0)))</f>
        <v>73124</v>
      </c>
      <c r="G7" s="80">
        <f>IF(ISERROR(VLOOKUP(MONTH(G5),Inputs!$D$66:$D$71,1,0)),"",INDEX(Inputs!$B$66:$B$71,MATCH(MONTH(Output!G5),Inputs!$D$66:$D$71,0))-INDEX(Inputs!$C$66:$C$71,MATCH(MONTH(Output!G5),Inputs!$D$66:$D$71,0)))</f>
        <v>23000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32000</v>
      </c>
      <c r="O7" s="80">
        <f>IF(ISERROR(VLOOKUP(MONTH(O5),Inputs!$D$66:$D$71,1,0)),"",INDEX(Inputs!$B$66:$B$71,MATCH(MONTH(Output!O5),Inputs!$D$66:$D$71,0))-INDEX(Inputs!$C$66:$C$71,MATCH(MONTH(Output!O5),Inputs!$D$66:$D$71,0)))</f>
        <v>26000</v>
      </c>
      <c r="P7" s="80">
        <f>IF(ISERROR(VLOOKUP(MONTH(P5),Inputs!$D$66:$D$71,1,0)),"",INDEX(Inputs!$B$66:$B$71,MATCH(MONTH(Output!P5),Inputs!$D$66:$D$71,0))-INDEX(Inputs!$C$66:$C$71,MATCH(MONTH(Output!P5),Inputs!$D$66:$D$71,0)))</f>
        <v>50000</v>
      </c>
      <c r="Q7" s="80">
        <f>IF(ISERROR(VLOOKUP(MONTH(Q5),Inputs!$D$66:$D$71,1,0)),"",INDEX(Inputs!$B$66:$B$71,MATCH(MONTH(Output!Q5),Inputs!$D$66:$D$71,0))-INDEX(Inputs!$C$66:$C$71,MATCH(MONTH(Output!Q5),Inputs!$D$66:$D$71,0)))</f>
        <v>-2000</v>
      </c>
      <c r="R7" s="80">
        <f>IF(ISERROR(VLOOKUP(MONTH(R5),Inputs!$D$66:$D$71,1,0)),"",INDEX(Inputs!$B$66:$B$71,MATCH(MONTH(Output!R5),Inputs!$D$66:$D$71,0))-INDEX(Inputs!$C$66:$C$71,MATCH(MONTH(Output!R5),Inputs!$D$66:$D$71,0)))</f>
        <v>73124</v>
      </c>
      <c r="S7" s="80">
        <f>IF(ISERROR(VLOOKUP(MONTH(S5),Inputs!$D$66:$D$71,1,0)),"",INDEX(Inputs!$B$66:$B$71,MATCH(MONTH(Output!S5),Inputs!$D$66:$D$71,0))-INDEX(Inputs!$C$66:$C$71,MATCH(MONTH(Output!S5),Inputs!$D$66:$D$71,0)))</f>
        <v>23000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11333.33333333333</v>
      </c>
      <c r="D10" s="37">
        <f>SUMPRODUCT((Calculations!$D$33:$D$84=Output!D5)+0,Calculations!$C$33:$C$84)</f>
        <v>11333.33333333333</v>
      </c>
      <c r="E10" s="37">
        <f>SUMPRODUCT((Calculations!$D$33:$D$84=Output!E5)+0,Calculations!$C$33:$C$84)</f>
        <v>11333.33333333333</v>
      </c>
      <c r="F10" s="37">
        <f>SUMPRODUCT((Calculations!$D$33:$D$84=Output!F5)+0,Calculations!$C$33:$C$84)</f>
        <v>11333.33333333333</v>
      </c>
      <c r="G10" s="37">
        <f>SUMPRODUCT((Calculations!$D$33:$D$84=Output!G5)+0,Calculations!$C$33:$C$84)</f>
        <v>11333.33333333333</v>
      </c>
      <c r="H10" s="37">
        <f>SUMPRODUCT((Calculations!$D$33:$D$84=Output!H5)+0,Calculations!$C$33:$C$84)</f>
        <v>11333.33333333333</v>
      </c>
      <c r="I10" s="37">
        <f>SUMPRODUCT((Calculations!$D$33:$D$84=Output!I5)+0,Calculations!$C$33:$C$84)</f>
        <v>11333.33333333333</v>
      </c>
      <c r="J10" s="37">
        <f>SUMPRODUCT((Calculations!$D$33:$D$84=Output!J5)+0,Calculations!$C$33:$C$84)</f>
        <v>11333.33333333333</v>
      </c>
      <c r="K10" s="37">
        <f>SUMPRODUCT((Calculations!$D$33:$D$84=Output!K5)+0,Calculations!$C$33:$C$84)</f>
        <v>11333.33333333333</v>
      </c>
      <c r="L10" s="37">
        <f>SUMPRODUCT((Calculations!$D$33:$D$84=Output!L5)+0,Calculations!$C$33:$C$84)</f>
        <v>11333.33333333333</v>
      </c>
      <c r="M10" s="37">
        <f>SUMPRODUCT((Calculations!$D$33:$D$84=Output!M5)+0,Calculations!$C$33:$C$84)</f>
        <v>11333.33333333333</v>
      </c>
      <c r="N10" s="37">
        <f>SUMPRODUCT((Calculations!$D$33:$D$84=Output!N5)+0,Calculations!$C$33:$C$84)</f>
        <v>11333.33333333333</v>
      </c>
      <c r="O10" s="37">
        <f>SUMPRODUCT((Calculations!$D$33:$D$84=Output!O5)+0,Calculations!$C$33:$C$84)</f>
        <v>11333.33333333333</v>
      </c>
      <c r="P10" s="37">
        <f>SUMPRODUCT((Calculations!$D$33:$D$84=Output!P5)+0,Calculations!$C$33:$C$84)</f>
        <v>11333.33333333333</v>
      </c>
      <c r="Q10" s="37">
        <f>SUMPRODUCT((Calculations!$D$33:$D$84=Output!Q5)+0,Calculations!$C$33:$C$84)</f>
        <v>11333.33333333333</v>
      </c>
      <c r="R10" s="37">
        <f>SUMPRODUCT((Calculations!$D$33:$D$84=Output!R5)+0,Calculations!$C$33:$C$84)</f>
        <v>11333.33333333333</v>
      </c>
      <c r="S10" s="37">
        <f>SUMPRODUCT((Calculations!$D$33:$D$84=Output!S5)+0,Calculations!$C$33:$C$84)</f>
        <v>11333.33333333333</v>
      </c>
      <c r="T10" s="37">
        <f>SUMPRODUCT((Calculations!$D$33:$D$84=Output!T5)+0,Calculations!$C$33:$C$84)</f>
        <v>11333.33333333333</v>
      </c>
      <c r="U10" s="37">
        <f>SUMPRODUCT((Calculations!$D$33:$D$84=Output!U5)+0,Calculations!$C$33:$C$84)</f>
        <v>11333.33333333333</v>
      </c>
      <c r="V10" s="37">
        <f>SUMPRODUCT((Calculations!$D$33:$D$84=Output!V5)+0,Calculations!$C$33:$C$84)</f>
        <v>11333.33333333333</v>
      </c>
      <c r="W10" s="37">
        <f>SUMPRODUCT((Calculations!$D$33:$D$84=Output!W5)+0,Calculations!$C$33:$C$84)</f>
        <v>11333.33333333333</v>
      </c>
      <c r="X10" s="37">
        <f>SUMPRODUCT((Calculations!$D$33:$D$84=Output!X5)+0,Calculations!$C$33:$C$84)</f>
        <v>11333.33333333333</v>
      </c>
      <c r="Y10" s="37">
        <f>SUMPRODUCT((Calculations!$D$33:$D$84=Output!Y5)+0,Calculations!$C$33:$C$84)</f>
        <v>11333.33333333333</v>
      </c>
      <c r="Z10" s="37">
        <f>SUMIF($B$13:$Y$13,"Yes",B10:Y10)</f>
        <v>260666.6666666667</v>
      </c>
      <c r="AA10" s="37">
        <f>SUM(B10:M10)</f>
        <v>124666.6666666666</v>
      </c>
      <c r="AB10" s="37">
        <f>SUM(B10:Y10)</f>
        <v>260666.6666666667</v>
      </c>
    </row>
    <row r="11" spans="1:30" customHeight="1" ht="15.75">
      <c r="A11" s="43" t="s">
        <v>31</v>
      </c>
      <c r="B11" s="80">
        <f>B6+B9-B10</f>
        <v>197896.5666666667</v>
      </c>
      <c r="C11" s="80">
        <f>C6+C9-C10</f>
        <v>-14436.76666666667</v>
      </c>
      <c r="D11" s="80">
        <f>D6+D9-D10</f>
        <v>-13436.76666666667</v>
      </c>
      <c r="E11" s="80">
        <f>E6+E9-E10</f>
        <v>13378.48333333333</v>
      </c>
      <c r="F11" s="80">
        <f>F6+F9-F10</f>
        <v>18459.68333333333</v>
      </c>
      <c r="G11" s="80">
        <f>G6+G9-G10</f>
        <v>-26436.76666666667</v>
      </c>
      <c r="H11" s="80">
        <f>H6+H9-H10</f>
        <v>-13436.76666666667</v>
      </c>
      <c r="I11" s="80">
        <f>I6+I9-I10</f>
        <v>-14436.76666666667</v>
      </c>
      <c r="J11" s="80">
        <f>J6+J9-J10</f>
        <v>-21436.76666666667</v>
      </c>
      <c r="K11" s="80">
        <f>K6+K9-K10</f>
        <v>17984.48333333333</v>
      </c>
      <c r="L11" s="80">
        <f>L6+L9-L10</f>
        <v>18459.68333333333</v>
      </c>
      <c r="M11" s="80">
        <f>M6+M9-M10</f>
        <v>-51436.76666666667</v>
      </c>
      <c r="N11" s="80">
        <f>N6+N9-N10</f>
        <v>-13436.76666666667</v>
      </c>
      <c r="O11" s="80">
        <f>O6+O9-O10</f>
        <v>-14436.76666666667</v>
      </c>
      <c r="P11" s="80">
        <f>P6+P9-P10</f>
        <v>-13436.76666666667</v>
      </c>
      <c r="Q11" s="80">
        <f>Q6+Q9-Q10</f>
        <v>13378.48333333333</v>
      </c>
      <c r="R11" s="80">
        <f>R6+R9-R10</f>
        <v>18459.68333333333</v>
      </c>
      <c r="S11" s="80">
        <f>S6+S9-S10</f>
        <v>-26436.76666666667</v>
      </c>
      <c r="T11" s="80">
        <f>T6+T9-T10</f>
        <v>-13436.76666666667</v>
      </c>
      <c r="U11" s="80">
        <f>U6+U9-U10</f>
        <v>-14436.76666666667</v>
      </c>
      <c r="V11" s="80">
        <f>V6+V9-V10</f>
        <v>-21436.76666666667</v>
      </c>
      <c r="W11" s="80">
        <f>W6+W9-W10</f>
        <v>17984.48333333333</v>
      </c>
      <c r="X11" s="80">
        <f>X6+X9-X10</f>
        <v>18459.68333333333</v>
      </c>
      <c r="Y11" s="80">
        <f>Y6+Y9-Y10</f>
        <v>-51436.76666666667</v>
      </c>
      <c r="Z11" s="85">
        <f>SUMIF($B$13:$Y$13,"Yes",B11:Y11)</f>
        <v>10909.73333333337</v>
      </c>
      <c r="AA11" s="80">
        <f>SUM(B11:M11)</f>
        <v>111121.5333333334</v>
      </c>
      <c r="AB11" s="46">
        <f>SUM(B11:Y11)</f>
        <v>10909.73333333337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0.0581813801102503</v>
      </c>
      <c r="D12" s="82">
        <f>IF(D13="Yes",IF(SUM($B$10:D10)/(SUM($B$6:D6)+SUM($B$9:D9))&lt;0,999.99,SUM($B$10:D10)/(SUM($B$6:D6)+SUM($B$9:D9))),"")</f>
        <v>0.1176329957785324</v>
      </c>
      <c r="E12" s="82">
        <f>IF(E13="Yes",IF(SUM($B$10:E10)/(SUM($B$6:E6)+SUM($B$9:E9))&lt;0,999.99,SUM($B$10:E10)/(SUM($B$6:E6)+SUM($B$9:E9))),"")</f>
        <v>0.1563926531944618</v>
      </c>
      <c r="F12" s="82">
        <f>IF(F13="Yes",IF(SUM($B$10:F10)/(SUM($B$6:F6)+SUM($B$9:F9))&lt;0,999.99,SUM($B$10:F10)/(SUM($B$6:F6)+SUM($B$9:F9))),"")</f>
        <v>0.1833913263454046</v>
      </c>
      <c r="G12" s="82">
        <f>IF(G13="Yes",IF(SUM($B$10:G10)/(SUM($B$6:G6)+SUM($B$9:G9))&lt;0,999.99,SUM($B$10:G10)/(SUM($B$6:G6)+SUM($B$9:G9))),"")</f>
        <v>0.2441569998447449</v>
      </c>
      <c r="H12" s="82">
        <f>IF(H13="Yes",IF(SUM($B$10:H10)/(SUM($B$6:H6)+SUM($B$9:H9))&lt;0,999.99,SUM($B$10:H10)/(SUM($B$6:H6)+SUM($B$9:H9))),"")</f>
        <v>0.2956680285754454</v>
      </c>
      <c r="I12" s="82">
        <f>IF(I13="Yes",IF(SUM($B$10:I10)/(SUM($B$6:I6)+SUM($B$9:I9))&lt;0,999.99,SUM($B$10:I10)/(SUM($B$6:I6)+SUM($B$9:I9))),"")</f>
        <v>0.3496643736225538</v>
      </c>
      <c r="J12" s="82">
        <f>IF(J13="Yes",IF(SUM($B$10:J10)/(SUM($B$6:J6)+SUM($B$9:J9))&lt;0,999.99,SUM($B$10:J10)/(SUM($B$6:J6)+SUM($B$9:J9))),"")</f>
        <v>0.418241221854826</v>
      </c>
      <c r="K12" s="82">
        <f>IF(K13="Yes",IF(SUM($B$10:K10)/(SUM($B$6:K6)+SUM($B$9:K9))&lt;0,999.99,SUM($B$10:K10)/(SUM($B$6:K6)+SUM($B$9:K9))),"")</f>
        <v>0.4144679940974881</v>
      </c>
      <c r="L12" s="82">
        <f>IF(L13="Yes",IF(SUM($B$10:L10)/(SUM($B$6:L6)+SUM($B$9:L9))&lt;0,999.99,SUM($B$10:L10)/(SUM($B$6:L6)+SUM($B$9:L9))),"")</f>
        <v>0.4107893087007954</v>
      </c>
      <c r="M12" s="82">
        <f>IF(M13="Yes",IF(SUM($B$10:M10)/(SUM($B$6:M6)+SUM($B$9:M9))&lt;0,999.99,SUM($B$10:M10)/(SUM($B$6:M6)+SUM($B$9:M9))),"")</f>
        <v>0.5287230941440948</v>
      </c>
      <c r="N12" s="82">
        <f>IF(N13="Yes",IF(SUM($B$10:N10)/(SUM($B$6:N6)+SUM($B$9:N9))&lt;0,999.99,SUM($B$10:N10)/(SUM($B$6:N6)+SUM($B$9:N9))),"")</f>
        <v>0.5819805969380687</v>
      </c>
      <c r="O12" s="82">
        <f>IF(O13="Yes",IF(SUM($B$10:O10)/(SUM($B$6:O6)+SUM($B$9:O9))&lt;0,999.99,SUM($B$10:O10)/(SUM($B$6:O6)+SUM($B$9:O9))),"")</f>
        <v>0.638964703705417</v>
      </c>
      <c r="P12" s="82">
        <f>IF(P13="Yes",IF(SUM($B$10:P10)/(SUM($B$6:P6)+SUM($B$9:P9))&lt;0,999.99,SUM($B$10:P10)/(SUM($B$6:P6)+SUM($B$9:P9))),"")</f>
        <v>0.694450827264548</v>
      </c>
      <c r="Q12" s="82">
        <f>IF(Q13="Yes",IF(SUM($B$10:Q10)/(SUM($B$6:Q6)+SUM($B$9:Q9))&lt;0,999.99,SUM($B$10:Q10)/(SUM($B$6:Q6)+SUM($B$9:Q9))),"")</f>
        <v>0.671433272401861</v>
      </c>
      <c r="R12" s="82">
        <f>IF(R13="Yes",IF(SUM($B$10:R10)/(SUM($B$6:R6)+SUM($B$9:R9))&lt;0,999.99,SUM($B$10:R10)/(SUM($B$6:R6)+SUM($B$9:R9))),"")</f>
        <v>0.6407929247037689</v>
      </c>
      <c r="S12" s="82">
        <f>IF(S13="Yes",IF(SUM($B$10:S10)/(SUM($B$6:S6)+SUM($B$9:S9))&lt;0,999.99,SUM($B$10:S10)/(SUM($B$6:S6)+SUM($B$9:S9))),"")</f>
        <v>0.719229394233398</v>
      </c>
      <c r="T12" s="82">
        <f>IF(T13="Yes",IF(SUM($B$10:T10)/(SUM($B$6:T6)+SUM($B$9:T9))&lt;0,999.99,SUM($B$10:T10)/(SUM($B$6:T6)+SUM($B$9:T9))),"")</f>
        <v>0.7675640477013466</v>
      </c>
      <c r="U12" s="82">
        <f>IF(U13="Yes",IF(SUM($B$10:U10)/(SUM($B$6:U6)+SUM($B$9:U9))&lt;0,999.99,SUM($B$10:U10)/(SUM($B$6:U6)+SUM($B$9:U9))),"")</f>
        <v>0.8197789566295057</v>
      </c>
      <c r="V12" s="82">
        <f>IF(V13="Yes",IF(SUM($B$10:V10)/(SUM($B$6:V6)+SUM($B$9:V9))&lt;0,999.99,SUM($B$10:V10)/(SUM($B$6:V6)+SUM($B$9:V9))),"")</f>
        <v>0.897444526710193</v>
      </c>
      <c r="W12" s="82">
        <f>IF(W13="Yes",IF(SUM($B$10:W10)/(SUM($B$6:W6)+SUM($B$9:W9))&lt;0,999.99,SUM($B$10:W10)/(SUM($B$6:W6)+SUM($B$9:W9))),"")</f>
        <v>0.8443105031103207</v>
      </c>
      <c r="X12" s="82">
        <f>IF(X13="Yes",IF(SUM($B$10:X10)/(SUM($B$6:X6)+SUM($B$9:X9))&lt;0,999.99,SUM($B$10:X10)/(SUM($B$6:X6)+SUM($B$9:X9))),"")</f>
        <v>0.799966204636275</v>
      </c>
      <c r="Y12" s="82">
        <f>IF(Y13="Yes",IF(SUM($B$10:Y10)/(SUM($B$6:Y6)+SUM($B$9:Y9))&lt;0,999.99,SUM($B$10:Y10)/(SUM($B$6:Y6)+SUM($B$9:Y9))),"")</f>
        <v>0.9598281244860259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 t="str">
        <f>Q18</f>
        <v>0</v>
      </c>
      <c r="F18" s="36" t="str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Sweet potatoes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31421.25</v>
      </c>
      <c r="F20" s="36">
        <f>R20</f>
        <v>31421.25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31421.25</v>
      </c>
      <c r="L20" s="36">
        <f>X20</f>
        <v>31421.25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31421.25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31421.25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31421.25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31421.25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251370</v>
      </c>
      <c r="AA20" s="36">
        <f>SUM(B20:M20)</f>
        <v>125685</v>
      </c>
      <c r="AB20" s="36">
        <f>SUM(B20:Y20)</f>
        <v>251370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24000</v>
      </c>
      <c r="C29" s="37">
        <f>Inputs!$B$30</f>
        <v>24000</v>
      </c>
      <c r="D29" s="37">
        <f>Inputs!$B$30</f>
        <v>24000</v>
      </c>
      <c r="E29" s="37">
        <f>Inputs!$B$30</f>
        <v>24000</v>
      </c>
      <c r="F29" s="37">
        <f>Inputs!$B$30</f>
        <v>24000</v>
      </c>
      <c r="G29" s="37">
        <f>Inputs!$B$30</f>
        <v>24000</v>
      </c>
      <c r="H29" s="37">
        <f>Inputs!$B$30</f>
        <v>24000</v>
      </c>
      <c r="I29" s="37">
        <f>Inputs!$B$30</f>
        <v>24000</v>
      </c>
      <c r="J29" s="37">
        <f>Inputs!$B$30</f>
        <v>24000</v>
      </c>
      <c r="K29" s="37">
        <f>Inputs!$B$30</f>
        <v>24000</v>
      </c>
      <c r="L29" s="37">
        <f>Inputs!$B$30</f>
        <v>24000</v>
      </c>
      <c r="M29" s="37">
        <f>Inputs!$B$30</f>
        <v>24000</v>
      </c>
      <c r="N29" s="37">
        <f>Inputs!$B$30</f>
        <v>24000</v>
      </c>
      <c r="O29" s="37">
        <f>Inputs!$B$30</f>
        <v>24000</v>
      </c>
      <c r="P29" s="37">
        <f>Inputs!$B$30</f>
        <v>24000</v>
      </c>
      <c r="Q29" s="37">
        <f>Inputs!$B$30</f>
        <v>24000</v>
      </c>
      <c r="R29" s="37">
        <f>Inputs!$B$30</f>
        <v>24000</v>
      </c>
      <c r="S29" s="37">
        <f>Inputs!$B$30</f>
        <v>24000</v>
      </c>
      <c r="T29" s="37">
        <f>Inputs!$B$30</f>
        <v>24000</v>
      </c>
      <c r="U29" s="37">
        <f>Inputs!$B$30</f>
        <v>24000</v>
      </c>
      <c r="V29" s="37">
        <f>Inputs!$B$30</f>
        <v>24000</v>
      </c>
      <c r="W29" s="37">
        <f>Inputs!$B$30</f>
        <v>24000</v>
      </c>
      <c r="X29" s="37">
        <f>Inputs!$B$30</f>
        <v>24000</v>
      </c>
      <c r="Y29" s="37">
        <f>Inputs!$B$30</f>
        <v>24000</v>
      </c>
      <c r="Z29" s="37">
        <f>SUMIF($B$13:$Y$13,"Yes",B29:Y29)</f>
        <v>576000</v>
      </c>
      <c r="AA29" s="37">
        <f>SUM(B29:M29)</f>
        <v>288000</v>
      </c>
      <c r="AB29" s="37">
        <f>SUM(B29:Y29)</f>
        <v>576000</v>
      </c>
    </row>
    <row r="30" spans="1:30" customHeight="1" ht="15.75">
      <c r="A30" s="1" t="s">
        <v>37</v>
      </c>
      <c r="B30" s="19">
        <f>SUM(B18:B29)</f>
        <v>24000</v>
      </c>
      <c r="C30" s="19">
        <f>SUM(C18:C29)</f>
        <v>24000</v>
      </c>
      <c r="D30" s="19">
        <f>SUM(D18:D29)</f>
        <v>24000</v>
      </c>
      <c r="E30" s="19">
        <f>SUM(E18:E29)</f>
        <v>55421.25</v>
      </c>
      <c r="F30" s="19">
        <f>SUM(F18:F29)</f>
        <v>55421.25</v>
      </c>
      <c r="G30" s="19">
        <f>SUM(G18:G29)</f>
        <v>24000</v>
      </c>
      <c r="H30" s="19">
        <f>SUM(H18:H29)</f>
        <v>24000</v>
      </c>
      <c r="I30" s="19">
        <f>SUM(I18:I29)</f>
        <v>24000</v>
      </c>
      <c r="J30" s="19">
        <f>SUM(J18:J29)</f>
        <v>24000</v>
      </c>
      <c r="K30" s="19">
        <f>SUM(K18:K29)</f>
        <v>55421.25</v>
      </c>
      <c r="L30" s="19">
        <f>SUM(L18:L29)</f>
        <v>55421.25</v>
      </c>
      <c r="M30" s="19">
        <f>SUM(M18:M29)</f>
        <v>24000</v>
      </c>
      <c r="N30" s="19">
        <f>SUM(N18:N29)</f>
        <v>24000</v>
      </c>
      <c r="O30" s="19">
        <f>SUM(O18:O29)</f>
        <v>24000</v>
      </c>
      <c r="P30" s="19">
        <f>SUM(P18:P29)</f>
        <v>24000</v>
      </c>
      <c r="Q30" s="19">
        <f>SUM(Q18:Q29)</f>
        <v>55421.25</v>
      </c>
      <c r="R30" s="19">
        <f>SUM(R18:R29)</f>
        <v>55421.25</v>
      </c>
      <c r="S30" s="19">
        <f>SUM(S18:S29)</f>
        <v>24000</v>
      </c>
      <c r="T30" s="19">
        <f>SUM(T18:T29)</f>
        <v>24000</v>
      </c>
      <c r="U30" s="19">
        <f>SUM(U18:U29)</f>
        <v>24000</v>
      </c>
      <c r="V30" s="19">
        <f>SUM(V18:V29)</f>
        <v>24000</v>
      </c>
      <c r="W30" s="19">
        <f>SUM(W18:W29)</f>
        <v>55421.25</v>
      </c>
      <c r="X30" s="19">
        <f>SUM(X18:X29)</f>
        <v>55421.25</v>
      </c>
      <c r="Y30" s="19">
        <f>SUM(Y18:Y29)</f>
        <v>24000</v>
      </c>
      <c r="Z30" s="19">
        <f>SUMIF($B$13:$Y$13,"Yes",B30:Y30)</f>
        <v>827370</v>
      </c>
      <c r="AA30" s="19">
        <f>SUM(B30:M30)</f>
        <v>413685</v>
      </c>
      <c r="AB30" s="19">
        <f>SUM(B30:Y30)</f>
        <v>827370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4000</v>
      </c>
      <c r="F36" s="36">
        <f>R36</f>
        <v>0</v>
      </c>
      <c r="G36" s="36">
        <f>S36</f>
        <v>2000</v>
      </c>
      <c r="H36" s="36">
        <f>T36</f>
        <v>0</v>
      </c>
      <c r="I36" s="36">
        <f>U36</f>
        <v>0</v>
      </c>
      <c r="J36" s="36">
        <f>V36</f>
        <v>8000</v>
      </c>
      <c r="K36" s="36">
        <f>W36</f>
        <v>0</v>
      </c>
      <c r="L36" s="36">
        <f>X36</f>
        <v>0</v>
      </c>
      <c r="M36" s="36">
        <f>Y36</f>
        <v>2000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4000</v>
      </c>
      <c r="R36" s="36">
        <f>SUM(R37:R41)</f>
        <v>0</v>
      </c>
      <c r="S36" s="36">
        <f>SUM(S37:S41)</f>
        <v>2000</v>
      </c>
      <c r="T36" s="36">
        <f>SUM(T37:T41)</f>
        <v>0</v>
      </c>
      <c r="U36" s="36">
        <f>SUM(U37:U41)</f>
        <v>0</v>
      </c>
      <c r="V36" s="36">
        <f>SUM(V37:V41)</f>
        <v>8000</v>
      </c>
      <c r="W36" s="36">
        <f>SUM(W37:W41)</f>
        <v>0</v>
      </c>
      <c r="X36" s="36">
        <f>SUM(X37:X41)</f>
        <v>0</v>
      </c>
      <c r="Y36" s="36">
        <f>SUM(Y37:Y41)</f>
        <v>2000</v>
      </c>
      <c r="Z36" s="36">
        <f>SUMIF($B$13:$Y$13,"Yes",B36:Y36)</f>
        <v>32000</v>
      </c>
      <c r="AA36" s="36">
        <f>SUM(B36:M36)</f>
        <v>16000</v>
      </c>
      <c r="AB36" s="36">
        <f>SUM(B36:Y36)</f>
        <v>32000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4000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4000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8000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8000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16000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 t="str">
        <f>Calculations!$A$6</f>
        <v>Sweet potatoes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2000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2000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2000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2000</v>
      </c>
      <c r="Z39" s="36">
        <f>SUMIF($B$13:$Y$13,"Yes",B39:Y39)</f>
        <v>8000</v>
      </c>
      <c r="AA39" s="36">
        <f>SUM(B39:M39)</f>
        <v>4000</v>
      </c>
      <c r="AB39" s="36">
        <f>SUM(B39:Y39)</f>
        <v>8000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606.0000000000001</v>
      </c>
      <c r="F42" s="36">
        <f>R42</f>
        <v>0</v>
      </c>
      <c r="G42" s="36">
        <f>S42</f>
        <v>11000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11000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606.0000000000001</v>
      </c>
      <c r="R42" s="36">
        <f>SUM(R43:R47)</f>
        <v>0</v>
      </c>
      <c r="S42" s="36">
        <f>SUM(S43:S47)</f>
        <v>11000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11000</v>
      </c>
      <c r="Z42" s="36">
        <f>SUMIF($B$13:$Y$13,"Yes",B42:Y42)</f>
        <v>45212</v>
      </c>
      <c r="AA42" s="36">
        <f>SUM(B42:M42)</f>
        <v>22606</v>
      </c>
      <c r="AB42" s="36">
        <f>SUM(B42:Y42)</f>
        <v>45212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606.0000000000001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606.0000000000001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Sweet potatoes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11000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11000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11000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11000</v>
      </c>
      <c r="Z45" s="36">
        <f>SUMIF($B$13:$Y$13,"Yes",B45:Y45)</f>
        <v>44000</v>
      </c>
      <c r="AA45" s="36">
        <f>SUM(B45:M45)</f>
        <v>22000</v>
      </c>
      <c r="AB45" s="36">
        <f>SUM(B45:Y45)</f>
        <v>44000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1000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1000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1000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1000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4000</v>
      </c>
      <c r="AA48" s="46">
        <f>SUM(B48:M48)</f>
        <v>2000</v>
      </c>
      <c r="AB48" s="46">
        <f>SUM(B48:Y48)</f>
        <v>4000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Sweet potatoes</v>
      </c>
      <c r="B51" s="36">
        <f>N51</f>
        <v>0</v>
      </c>
      <c r="C51" s="36">
        <f>O51</f>
        <v>1000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1000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1000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1000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4000</v>
      </c>
      <c r="AA51" s="46">
        <f>SUM(B51:M51)</f>
        <v>2000</v>
      </c>
      <c r="AB51" s="46">
        <f>SUM(B51:Y51)</f>
        <v>4000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Sweet potatoes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Sweet potatoes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9115.200000000001</v>
      </c>
      <c r="C66" s="36">
        <f>O66</f>
        <v>9115.200000000001</v>
      </c>
      <c r="D66" s="36">
        <f>P66</f>
        <v>9115.200000000001</v>
      </c>
      <c r="E66" s="36">
        <f>Q66</f>
        <v>9115.200000000001</v>
      </c>
      <c r="F66" s="36">
        <f>R66</f>
        <v>8640</v>
      </c>
      <c r="G66" s="36">
        <f>S66</f>
        <v>9115.200000000001</v>
      </c>
      <c r="H66" s="36">
        <f>T66</f>
        <v>9115.200000000001</v>
      </c>
      <c r="I66" s="36">
        <f>U66</f>
        <v>9115.200000000001</v>
      </c>
      <c r="J66" s="36">
        <f>V66</f>
        <v>9115.200000000001</v>
      </c>
      <c r="K66" s="36">
        <f>W66</f>
        <v>9115.200000000001</v>
      </c>
      <c r="L66" s="36">
        <f>X66</f>
        <v>8640</v>
      </c>
      <c r="M66" s="36">
        <f>Y66</f>
        <v>9115.200000000001</v>
      </c>
      <c r="N66" s="46">
        <f>SUM(N67:N71)</f>
        <v>9115.200000000001</v>
      </c>
      <c r="O66" s="46">
        <f>SUM(O67:O71)</f>
        <v>9115.200000000001</v>
      </c>
      <c r="P66" s="46">
        <f>SUM(P67:P71)</f>
        <v>9115.200000000001</v>
      </c>
      <c r="Q66" s="46">
        <f>SUM(Q67:Q71)</f>
        <v>9115.200000000001</v>
      </c>
      <c r="R66" s="46">
        <f>SUM(R67:R71)</f>
        <v>8640</v>
      </c>
      <c r="S66" s="46">
        <f>SUM(S67:S71)</f>
        <v>9115.200000000001</v>
      </c>
      <c r="T66" s="46">
        <f>SUM(T67:T71)</f>
        <v>9115.200000000001</v>
      </c>
      <c r="U66" s="46">
        <f>SUM(U67:U71)</f>
        <v>9115.200000000001</v>
      </c>
      <c r="V66" s="46">
        <f>SUM(V67:V71)</f>
        <v>9115.200000000001</v>
      </c>
      <c r="W66" s="46">
        <f>SUM(W67:W71)</f>
        <v>9115.200000000001</v>
      </c>
      <c r="X66" s="46">
        <f>SUM(X67:X71)</f>
        <v>8640</v>
      </c>
      <c r="Y66" s="46">
        <f>SUM(Y67:Y71)</f>
        <v>9115.200000000001</v>
      </c>
      <c r="Z66" s="46">
        <f>SUMIF($B$13:$Y$13,"Yes",B66:Y66)</f>
        <v>216864.0000000001</v>
      </c>
      <c r="AA66" s="46">
        <f>SUM(B66:M66)</f>
        <v>108432</v>
      </c>
      <c r="AB66" s="46">
        <f>SUM(B66:Y66)</f>
        <v>216864.0000000001</v>
      </c>
    </row>
    <row r="67" spans="1:30" hidden="true" outlineLevel="1">
      <c r="A67" s="181" t="str">
        <f>Calculations!$A$4</f>
        <v>Maize</v>
      </c>
      <c r="B67" s="36">
        <f>N67</f>
        <v>8640</v>
      </c>
      <c r="C67" s="36">
        <f>O67</f>
        <v>8640</v>
      </c>
      <c r="D67" s="36">
        <f>P67</f>
        <v>8640</v>
      </c>
      <c r="E67" s="36">
        <f>Q67</f>
        <v>8640</v>
      </c>
      <c r="F67" s="36">
        <f>R67</f>
        <v>8640</v>
      </c>
      <c r="G67" s="36">
        <f>S67</f>
        <v>8640</v>
      </c>
      <c r="H67" s="36">
        <f>T67</f>
        <v>8640</v>
      </c>
      <c r="I67" s="36">
        <f>U67</f>
        <v>8640</v>
      </c>
      <c r="J67" s="36">
        <f>V67</f>
        <v>8640</v>
      </c>
      <c r="K67" s="36">
        <f>W67</f>
        <v>8640</v>
      </c>
      <c r="L67" s="36">
        <f>X67</f>
        <v>8640</v>
      </c>
      <c r="M67" s="36">
        <f>Y67</f>
        <v>8640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8640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8640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8640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8640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8640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8640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8640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8640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8640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8640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8640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8640</v>
      </c>
      <c r="Z67" s="46">
        <f>SUMIF($B$13:$Y$13,"Yes",B67:Y67)</f>
        <v>207360</v>
      </c>
      <c r="AA67" s="46">
        <f>SUM(B67:M67)</f>
        <v>103680</v>
      </c>
      <c r="AB67" s="46">
        <f>SUM(B67:Y67)</f>
        <v>207360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Sweet potatoes</v>
      </c>
      <c r="B69" s="36">
        <f>N69</f>
        <v>475.2</v>
      </c>
      <c r="C69" s="36">
        <f>O69</f>
        <v>475.2</v>
      </c>
      <c r="D69" s="36">
        <f>P69</f>
        <v>475.2</v>
      </c>
      <c r="E69" s="36">
        <f>Q69</f>
        <v>475.2</v>
      </c>
      <c r="F69" s="36">
        <f>R69</f>
        <v>0</v>
      </c>
      <c r="G69" s="36">
        <f>S69</f>
        <v>475.2</v>
      </c>
      <c r="H69" s="36">
        <f>T69</f>
        <v>475.2</v>
      </c>
      <c r="I69" s="36">
        <f>U69</f>
        <v>475.2</v>
      </c>
      <c r="J69" s="36">
        <f>V69</f>
        <v>475.2</v>
      </c>
      <c r="K69" s="36">
        <f>W69</f>
        <v>475.2</v>
      </c>
      <c r="L69" s="36">
        <f>X69</f>
        <v>0</v>
      </c>
      <c r="M69" s="36">
        <f>Y69</f>
        <v>475.2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475.2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475.2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475.2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475.2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475.2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475.2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475.2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475.2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475.2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475.2</v>
      </c>
      <c r="Z69" s="46">
        <f>SUMIF($B$13:$Y$13,"Yes",B69:Y69)</f>
        <v>9504</v>
      </c>
      <c r="AA69" s="46">
        <f>SUM(B69:M69)</f>
        <v>4751.999999999999</v>
      </c>
      <c r="AB69" s="46">
        <f>SUM(B69:Y69)</f>
        <v>9504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25000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25000</v>
      </c>
      <c r="Z72" s="46">
        <f>SUMIF($B$13:$Y$13,"Yes",B72:Y72)</f>
        <v>50000</v>
      </c>
      <c r="AA72" s="46">
        <f>SUM(B72:M72)</f>
        <v>25000</v>
      </c>
      <c r="AB72" s="46">
        <f>SUM(B72:Y72)</f>
        <v>50000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360000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1988.233333333334</v>
      </c>
      <c r="C81" s="46">
        <f>(SUM($AA$18:$AA$29)-SUM($AA$36,$AA$42,$AA$48,$AA$54,$AA$60,$AA$66,$AA$72:$AA$79))*Parameters!$B$37/12</f>
        <v>1988.233333333334</v>
      </c>
      <c r="D81" s="46">
        <f>(SUM($AA$18:$AA$29)-SUM($AA$36,$AA$42,$AA$48,$AA$54,$AA$60,$AA$66,$AA$72:$AA$79))*Parameters!$B$37/12</f>
        <v>1988.233333333334</v>
      </c>
      <c r="E81" s="46">
        <f>(SUM($AA$18:$AA$29)-SUM($AA$36,$AA$42,$AA$48,$AA$54,$AA$60,$AA$66,$AA$72:$AA$79))*Parameters!$B$37/12</f>
        <v>1988.233333333334</v>
      </c>
      <c r="F81" s="46">
        <f>(SUM($AA$18:$AA$29)-SUM($AA$36,$AA$42,$AA$48,$AA$54,$AA$60,$AA$66,$AA$72:$AA$79))*Parameters!$B$37/12</f>
        <v>1988.233333333334</v>
      </c>
      <c r="G81" s="46">
        <f>(SUM($AA$18:$AA$29)-SUM($AA$36,$AA$42,$AA$48,$AA$54,$AA$60,$AA$66,$AA$72:$AA$79))*Parameters!$B$37/12</f>
        <v>1988.233333333334</v>
      </c>
      <c r="H81" s="46">
        <f>(SUM($AA$18:$AA$29)-SUM($AA$36,$AA$42,$AA$48,$AA$54,$AA$60,$AA$66,$AA$72:$AA$79))*Parameters!$B$37/12</f>
        <v>1988.233333333334</v>
      </c>
      <c r="I81" s="46">
        <f>(SUM($AA$18:$AA$29)-SUM($AA$36,$AA$42,$AA$48,$AA$54,$AA$60,$AA$66,$AA$72:$AA$79))*Parameters!$B$37/12</f>
        <v>1988.233333333334</v>
      </c>
      <c r="J81" s="46">
        <f>(SUM($AA$18:$AA$29)-SUM($AA$36,$AA$42,$AA$48,$AA$54,$AA$60,$AA$66,$AA$72:$AA$79))*Parameters!$B$37/12</f>
        <v>1988.233333333334</v>
      </c>
      <c r="K81" s="46">
        <f>(SUM($AA$18:$AA$29)-SUM($AA$36,$AA$42,$AA$48,$AA$54,$AA$60,$AA$66,$AA$72:$AA$79))*Parameters!$B$37/12</f>
        <v>1988.233333333334</v>
      </c>
      <c r="L81" s="46">
        <f>(SUM($AA$18:$AA$29)-SUM($AA$36,$AA$42,$AA$48,$AA$54,$AA$60,$AA$66,$AA$72:$AA$79))*Parameters!$B$37/12</f>
        <v>1988.233333333334</v>
      </c>
      <c r="M81" s="46">
        <f>(SUM($AA$18:$AA$29)-SUM($AA$36,$AA$42,$AA$48,$AA$54,$AA$60,$AA$66,$AA$72:$AA$79))*Parameters!$B$37/12</f>
        <v>1988.233333333334</v>
      </c>
      <c r="N81" s="46">
        <f>(SUM($AA$18:$AA$29)-SUM($AA$36,$AA$42,$AA$48,$AA$54,$AA$60,$AA$66,$AA$72:$AA$79))*Parameters!$B$37/12</f>
        <v>1988.233333333334</v>
      </c>
      <c r="O81" s="46">
        <f>(SUM($AA$18:$AA$29)-SUM($AA$36,$AA$42,$AA$48,$AA$54,$AA$60,$AA$66,$AA$72:$AA$79))*Parameters!$B$37/12</f>
        <v>1988.233333333334</v>
      </c>
      <c r="P81" s="46">
        <f>(SUM($AA$18:$AA$29)-SUM($AA$36,$AA$42,$AA$48,$AA$54,$AA$60,$AA$66,$AA$72:$AA$79))*Parameters!$B$37/12</f>
        <v>1988.233333333334</v>
      </c>
      <c r="Q81" s="46">
        <f>(SUM($AA$18:$AA$29)-SUM($AA$36,$AA$42,$AA$48,$AA$54,$AA$60,$AA$66,$AA$72:$AA$79))*Parameters!$B$37/12</f>
        <v>1988.233333333334</v>
      </c>
      <c r="R81" s="46">
        <f>(SUM($AA$18:$AA$29)-SUM($AA$36,$AA$42,$AA$48,$AA$54,$AA$60,$AA$66,$AA$72:$AA$79))*Parameters!$B$37/12</f>
        <v>1988.233333333334</v>
      </c>
      <c r="S81" s="46">
        <f>(SUM($AA$18:$AA$29)-SUM($AA$36,$AA$42,$AA$48,$AA$54,$AA$60,$AA$66,$AA$72:$AA$79))*Parameters!$B$37/12</f>
        <v>1988.233333333334</v>
      </c>
      <c r="T81" s="46">
        <f>(SUM($AA$18:$AA$29)-SUM($AA$36,$AA$42,$AA$48,$AA$54,$AA$60,$AA$66,$AA$72:$AA$79))*Parameters!$B$37/12</f>
        <v>1988.233333333334</v>
      </c>
      <c r="U81" s="46">
        <f>(SUM($AA$18:$AA$29)-SUM($AA$36,$AA$42,$AA$48,$AA$54,$AA$60,$AA$66,$AA$72:$AA$79))*Parameters!$B$37/12</f>
        <v>1988.233333333334</v>
      </c>
      <c r="V81" s="46">
        <f>(SUM($AA$18:$AA$29)-SUM($AA$36,$AA$42,$AA$48,$AA$54,$AA$60,$AA$66,$AA$72:$AA$79))*Parameters!$B$37/12</f>
        <v>1988.233333333334</v>
      </c>
      <c r="W81" s="46">
        <f>(SUM($AA$18:$AA$29)-SUM($AA$36,$AA$42,$AA$48,$AA$54,$AA$60,$AA$66,$AA$72:$AA$79))*Parameters!$B$37/12</f>
        <v>1988.233333333334</v>
      </c>
      <c r="X81" s="46">
        <f>(SUM($AA$18:$AA$29)-SUM($AA$36,$AA$42,$AA$48,$AA$54,$AA$60,$AA$66,$AA$72:$AA$79))*Parameters!$B$37/12</f>
        <v>1988.233333333334</v>
      </c>
      <c r="Y81" s="46">
        <f>(SUM($AA$18:$AA$29)-SUM($AA$36,$AA$42,$AA$48,$AA$54,$AA$60,$AA$66,$AA$72:$AA$79))*Parameters!$B$37/12</f>
        <v>1988.233333333334</v>
      </c>
      <c r="Z81" s="46">
        <f>SUMIF($B$13:$Y$13,"Yes",B81:Y81)</f>
        <v>47717.60000000003</v>
      </c>
      <c r="AA81" s="46">
        <f>SUM(B81:M81)</f>
        <v>23858.8</v>
      </c>
      <c r="AB81" s="46">
        <f>SUM(B81:Y81)</f>
        <v>47717.60000000003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26103.43333333333</v>
      </c>
      <c r="C88" s="19">
        <f>SUM(C72:C82,C66,C60,C54,C48,C42,C36)</f>
        <v>27103.43333333333</v>
      </c>
      <c r="D88" s="19">
        <f>SUM(D72:D82,D66,D60,D54,D48,D42,D36)</f>
        <v>26103.43333333333</v>
      </c>
      <c r="E88" s="19">
        <f>SUM(E72:E82,E66,E60,E54,E48,E42,E36)</f>
        <v>30709.43333333333</v>
      </c>
      <c r="F88" s="19">
        <f>SUM(F72:F82,F66,F60,F54,F48,F42,F36)</f>
        <v>25628.23333333333</v>
      </c>
      <c r="G88" s="19">
        <f>SUM(G72:G82,G66,G60,G54,G48,G42,G36)</f>
        <v>39103.43333333333</v>
      </c>
      <c r="H88" s="19">
        <f>SUM(H72:H82,H66,H60,H54,H48,H42,H36)</f>
        <v>26103.43333333333</v>
      </c>
      <c r="I88" s="19">
        <f>SUM(I72:I82,I66,I60,I54,I48,I42,I36)</f>
        <v>27103.43333333333</v>
      </c>
      <c r="J88" s="19">
        <f>SUM(J72:J82,J66,J60,J54,J48,J42,J36)</f>
        <v>34103.43333333333</v>
      </c>
      <c r="K88" s="19">
        <f>SUM(K72:K82,K66,K60,K54,K48,K42,K36)</f>
        <v>26103.43333333333</v>
      </c>
      <c r="L88" s="19">
        <f>SUM(L72:L82,L66,L60,L54,L48,L42,L36)</f>
        <v>25628.23333333333</v>
      </c>
      <c r="M88" s="19">
        <f>SUM(M72:M82,M66,M60,M54,M48,M42,M36)</f>
        <v>64103.43333333333</v>
      </c>
      <c r="N88" s="19">
        <f>SUM(N72:N82,N66,N60,N54,N48,N42,N36)</f>
        <v>26103.43333333333</v>
      </c>
      <c r="O88" s="19">
        <f>SUM(O72:O82,O66,O60,O54,O48,O42,O36)</f>
        <v>27103.43333333333</v>
      </c>
      <c r="P88" s="19">
        <f>SUM(P72:P82,P66,P60,P54,P48,P42,P36)</f>
        <v>26103.43333333333</v>
      </c>
      <c r="Q88" s="19">
        <f>SUM(Q72:Q82,Q66,Q60,Q54,Q48,Q42,Q36)</f>
        <v>30709.43333333333</v>
      </c>
      <c r="R88" s="19">
        <f>SUM(R72:R82,R66,R60,R54,R48,R42,R36)</f>
        <v>25628.23333333333</v>
      </c>
      <c r="S88" s="19">
        <f>SUM(S72:S82,S66,S60,S54,S48,S42,S36)</f>
        <v>39103.43333333333</v>
      </c>
      <c r="T88" s="19">
        <f>SUM(T72:T82,T66,T60,T54,T48,T42,T36)</f>
        <v>26103.43333333333</v>
      </c>
      <c r="U88" s="19">
        <f>SUM(U72:U82,U66,U60,U54,U48,U42,U36)</f>
        <v>27103.43333333333</v>
      </c>
      <c r="V88" s="19">
        <f>SUM(V72:V82,V66,V60,V54,V48,V42,V36)</f>
        <v>34103.43333333333</v>
      </c>
      <c r="W88" s="19">
        <f>SUM(W72:W82,W66,W60,W54,W48,W42,W36)</f>
        <v>26103.43333333333</v>
      </c>
      <c r="X88" s="19">
        <f>SUM(X72:X82,X66,X60,X54,X48,X42,X36)</f>
        <v>25628.23333333333</v>
      </c>
      <c r="Y88" s="19">
        <f>SUM(Y72:Y82,Y66,Y60,Y54,Y48,Y42,Y36)</f>
        <v>64103.43333333333</v>
      </c>
      <c r="Z88" s="19">
        <f>SUMIF($B$13:$Y$13,"Yes",B88:Y88)</f>
        <v>755793.6000000002</v>
      </c>
      <c r="AA88" s="19">
        <f>SUM(B88:M88)</f>
        <v>377896.8000000001</v>
      </c>
      <c r="AB88" s="19">
        <f>SUM(B88:Y88)</f>
        <v>755793.6000000002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80000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1142000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94</v>
      </c>
      <c r="B8" s="16"/>
      <c r="C8" s="143">
        <v>4</v>
      </c>
      <c r="D8" s="16"/>
      <c r="E8" s="147" t="s">
        <v>95</v>
      </c>
      <c r="F8" s="149" t="s">
        <v>96</v>
      </c>
      <c r="G8" s="147"/>
      <c r="H8" s="147" t="s">
        <v>97</v>
      </c>
      <c r="I8" s="147" t="s">
        <v>92</v>
      </c>
      <c r="J8" s="148" t="s">
        <v>98</v>
      </c>
      <c r="K8" s="138"/>
      <c r="L8" s="16"/>
      <c r="M8" s="165">
        <v>0</v>
      </c>
      <c r="N8" s="154">
        <v>0</v>
      </c>
    </row>
    <row r="9" spans="1:48">
      <c r="A9" s="143" t="s">
        <v>99</v>
      </c>
      <c r="B9" s="16"/>
      <c r="C9" s="143">
        <v>1</v>
      </c>
      <c r="D9" s="16"/>
      <c r="E9" s="147" t="s">
        <v>95</v>
      </c>
      <c r="F9" s="149" t="s">
        <v>91</v>
      </c>
      <c r="G9" s="147"/>
      <c r="H9" s="147" t="s">
        <v>97</v>
      </c>
      <c r="I9" s="147" t="s">
        <v>92</v>
      </c>
      <c r="J9" s="148" t="s">
        <v>100</v>
      </c>
      <c r="K9" s="138"/>
      <c r="L9" s="16"/>
      <c r="M9" s="165">
        <v>5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40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24000</v>
      </c>
    </row>
    <row r="31" spans="1:48">
      <c r="A31" s="5" t="s">
        <v>120</v>
      </c>
      <c r="B31" s="158">
        <v>15000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>
        <v>25000</v>
      </c>
    </row>
    <row r="42" spans="1:48">
      <c r="A42" s="55" t="s">
        <v>129</v>
      </c>
      <c r="B42" s="139" t="s">
        <v>130</v>
      </c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97</v>
      </c>
    </row>
    <row r="45" spans="1:48">
      <c r="A45" s="56" t="s">
        <v>134</v>
      </c>
      <c r="B45" s="161">
        <v>250000</v>
      </c>
    </row>
    <row r="46" spans="1:48" customHeight="1" ht="30">
      <c r="A46" s="57" t="s">
        <v>135</v>
      </c>
      <c r="B46" s="161">
        <v>80000</v>
      </c>
    </row>
    <row r="47" spans="1:48" customHeight="1" ht="30">
      <c r="A47" s="57" t="s">
        <v>136</v>
      </c>
      <c r="B47" s="161">
        <v>0</v>
      </c>
    </row>
    <row r="48" spans="1:48" customHeight="1" ht="30">
      <c r="A48" s="57" t="s">
        <v>137</v>
      </c>
      <c r="B48" s="161">
        <v>800000</v>
      </c>
    </row>
    <row r="49" spans="1:48" customHeight="1" ht="30">
      <c r="A49" s="57" t="s">
        <v>138</v>
      </c>
      <c r="B49" s="161">
        <v>12000</v>
      </c>
    </row>
    <row r="50" spans="1:48">
      <c r="A50" s="43"/>
      <c r="B50" s="36"/>
    </row>
    <row r="51" spans="1:48">
      <c r="A51" s="58" t="s">
        <v>139</v>
      </c>
      <c r="B51" s="161">
        <v>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148</v>
      </c>
      <c r="C65" s="10" t="s">
        <v>149</v>
      </c>
    </row>
    <row r="66" spans="1:48">
      <c r="A66" s="142" t="s">
        <v>150</v>
      </c>
      <c r="B66" s="159">
        <v>86000</v>
      </c>
      <c r="C66" s="163">
        <v>54000</v>
      </c>
      <c r="D66" s="49">
        <f>INDEX(Parameters!$D$79:$D$90,MATCH(Inputs!A66,Parameters!$C$79:$C$90,0))</f>
        <v>5</v>
      </c>
    </row>
    <row r="67" spans="1:48">
      <c r="A67" s="143" t="s">
        <v>151</v>
      </c>
      <c r="B67" s="157">
        <v>57000</v>
      </c>
      <c r="C67" s="165">
        <v>31000</v>
      </c>
      <c r="D67" s="49">
        <f>INDEX(Parameters!$D$79:$D$90,MATCH(Inputs!A67,Parameters!$C$79:$C$90,0))</f>
        <v>6</v>
      </c>
    </row>
    <row r="68" spans="1:48">
      <c r="A68" s="143" t="s">
        <v>152</v>
      </c>
      <c r="B68" s="157">
        <v>134000</v>
      </c>
      <c r="C68" s="165">
        <v>84000</v>
      </c>
      <c r="D68" s="49">
        <f>INDEX(Parameters!$D$79:$D$90,MATCH(Inputs!A68,Parameters!$C$79:$C$90,0))</f>
        <v>7</v>
      </c>
    </row>
    <row r="69" spans="1:48">
      <c r="A69" s="143" t="s">
        <v>93</v>
      </c>
      <c r="B69" s="157">
        <v>76000</v>
      </c>
      <c r="C69" s="165">
        <v>78000</v>
      </c>
      <c r="D69" s="49">
        <f>INDEX(Parameters!$D$79:$D$90,MATCH(Inputs!A69,Parameters!$C$79:$C$90,0))</f>
        <v>8</v>
      </c>
    </row>
    <row r="70" spans="1:48">
      <c r="A70" s="143" t="s">
        <v>153</v>
      </c>
      <c r="B70" s="157">
        <v>120000</v>
      </c>
      <c r="C70" s="165">
        <v>46876</v>
      </c>
      <c r="D70" s="49">
        <f>INDEX(Parameters!$D$79:$D$90,MATCH(Inputs!A70,Parameters!$C$79:$C$90,0))</f>
        <v>9</v>
      </c>
    </row>
    <row r="71" spans="1:48">
      <c r="A71" s="144" t="s">
        <v>100</v>
      </c>
      <c r="B71" s="158">
        <v>85000</v>
      </c>
      <c r="C71" s="167">
        <v>62000</v>
      </c>
      <c r="D71" s="49">
        <f>INDEX(Parameters!$D$79:$D$90,MATCH(Inputs!A71,Parameters!$C$79:$C$90,0))</f>
        <v>10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22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200000</v>
      </c>
    </row>
    <row r="82" spans="1:48">
      <c r="A82" t="s">
        <v>164</v>
      </c>
      <c r="B82" s="161">
        <v>18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24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42948</v>
      </c>
      <c r="D4" s="38">
        <f>IFERROR(DATE(YEAR(B4),MONTH(B4)+T4,DAY(B4)),"")</f>
        <v>42948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14400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43101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4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8000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Sweet potatoes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43009</v>
      </c>
      <c r="C6" s="39">
        <f>IFERROR(DATE(YEAR(B6),MONTH(B6)+ROUND(T6/2,0),DAY(B6)),B6)</f>
        <v>43070</v>
      </c>
      <c r="D6" s="39">
        <f>IFERROR(DATE(YEAR(B6),MONTH(B6)+T6,DAY(B6)),"")</f>
        <v>43132</v>
      </c>
      <c r="E6" s="39">
        <f>IFERROR(IF($S6=0,"",IF($S6=2,DATE(YEAR(B6),MONTH(B6)+6,DAY(B6)),IF($S6=1,B6,""))),"")</f>
        <v>43191</v>
      </c>
      <c r="F6" s="39">
        <f>IFERROR(IF($S6=0,"",IF($S6=2,DATE(YEAR(C6),MONTH(C6)+6,DAY(C6)),IF($S6=1,C6,""))),"")</f>
        <v>43252</v>
      </c>
      <c r="G6" s="39">
        <f>IFERROR(IF($S6=0,"",IF($S6=2,DATE(YEAR(D6),MONTH(D6)+6,DAY(D6)),IF($S6=1,D6,""))),"")</f>
        <v>43313</v>
      </c>
      <c r="H6" s="16">
        <f>Inputs!C9</f>
        <v>1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3150</v>
      </c>
      <c r="M6" s="30">
        <f>L6*H6</f>
        <v>3150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125685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11000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1000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3960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102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42906</v>
      </c>
      <c r="C33" s="27">
        <f>IF(B33&lt;&gt;"",IF(COUNT($A$33:A33)&lt;=$G$39,0,$G$41)+IF(COUNT($A$33:A33)&lt;=$G$40,0,$G$42),0)</f>
        <v>11333.33333333333</v>
      </c>
      <c r="D33" s="170">
        <f>IFERROR(DATE(YEAR(B33),MONTH(B33),1)," ")</f>
        <v>42887</v>
      </c>
      <c r="F33" t="s">
        <v>159</v>
      </c>
      <c r="G33" s="128">
        <f>IF(Inputs!B79="","",DATE(YEAR(Inputs!B79),MONTH(Inputs!B79),DAY(Inputs!B79)))</f>
        <v>42873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42936</v>
      </c>
      <c r="C34" s="27">
        <f>IF(B34&lt;&gt;"",IF(COUNT($A$33:A34)&lt;=$G$39,0,$G$41)+IF(COUNT($A$33:A34)&lt;=$G$40,0,$G$42),0)</f>
        <v>11333.33333333333</v>
      </c>
      <c r="D34" s="170">
        <f>IFERROR(DATE(YEAR(B34),MONTH(B34),1)," ")</f>
        <v>42917</v>
      </c>
      <c r="F34" t="s">
        <v>161</v>
      </c>
      <c r="G34" s="128">
        <f>IF(Inputs!B80="","",DATE(YEAR(Inputs!B80),MONTH(Inputs!B80),DAY(Inputs!B80)))</f>
        <v>42906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42967</v>
      </c>
      <c r="C35" s="27">
        <f>IF(B35&lt;&gt;"",IF(COUNT($A$33:A35)&lt;=$G$39,0,$G$41)+IF(COUNT($A$33:A35)&lt;=$G$40,0,$G$42),0)</f>
        <v>11333.33333333333</v>
      </c>
      <c r="D35" s="170">
        <f>IFERROR(DATE(YEAR(B35),MONTH(B35),1)," ")</f>
        <v>42948</v>
      </c>
      <c r="F35" t="s">
        <v>163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42998</v>
      </c>
      <c r="C36" s="27">
        <f>IF(B36&lt;&gt;"",IF(COUNT($A$33:A36)&lt;=$G$39,0,$G$41)+IF(COUNT($A$33:A36)&lt;=$G$40,0,$G$42),0)</f>
        <v>11333.33333333333</v>
      </c>
      <c r="D36" s="170">
        <f>IFERROR(DATE(YEAR(B36),MONTH(B36),1)," ")</f>
        <v>42979</v>
      </c>
      <c r="F36" t="s">
        <v>164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43028</v>
      </c>
      <c r="C37" s="27">
        <f>IF(B37&lt;&gt;"",IF(COUNT($A$33:A37)&lt;=$G$39,0,$G$41)+IF(COUNT($A$33:A37)&lt;=$G$40,0,$G$42),0)</f>
        <v>11333.33333333333</v>
      </c>
      <c r="D37" s="170">
        <f>IFERROR(DATE(YEAR(B37),MONTH(B37),1)," ")</f>
        <v>43009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43059</v>
      </c>
      <c r="C38" s="27">
        <f>IF(B38&lt;&gt;"",IF(COUNT($A$33:A38)&lt;=$G$39,0,$G$41)+IF(COUNT($A$33:A38)&lt;=$G$40,0,$G$42),0)</f>
        <v>11333.33333333333</v>
      </c>
      <c r="D38" s="170">
        <f>IFERROR(DATE(YEAR(B38),MONTH(B38),1)," ")</f>
        <v>43040</v>
      </c>
      <c r="F38" t="s">
        <v>226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43089</v>
      </c>
      <c r="C39" s="27">
        <f>IF(B39&lt;&gt;"",IF(COUNT($A$33:A39)&lt;=$G$39,0,$G$41)+IF(COUNT($A$33:A39)&lt;=$G$40,0,$G$42),0)</f>
        <v>11333.33333333333</v>
      </c>
      <c r="D39" s="170">
        <f>IFERROR(DATE(YEAR(B39),MONTH(B39),1)," ")</f>
        <v>43070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43120</v>
      </c>
      <c r="C40" s="27">
        <f>IF(B40&lt;&gt;"",IF(COUNT($A$33:A40)&lt;=$G$39,0,$G$41)+IF(COUNT($A$33:A40)&lt;=$G$40,0,$G$42),0)</f>
        <v>11333.33333333333</v>
      </c>
      <c r="D40" s="170">
        <f>IFERROR(DATE(YEAR(B40),MONTH(B40),1)," ")</f>
        <v>43101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43151</v>
      </c>
      <c r="C41" s="27">
        <f>IF(B41&lt;&gt;"",IF(COUNT($A$33:A41)&lt;=$G$39,0,$G$41)+IF(COUNT($A$33:A41)&lt;=$G$40,0,$G$42),0)</f>
        <v>11333.33333333333</v>
      </c>
      <c r="D41" s="170">
        <f>IFERROR(DATE(YEAR(B41),MONTH(B41),1)," ")</f>
        <v>43132</v>
      </c>
      <c r="F41" t="s">
        <v>227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43179</v>
      </c>
      <c r="C42" s="27">
        <f>IF(B42&lt;&gt;"",IF(COUNT($A$33:A42)&lt;=$G$39,0,$G$41)+IF(COUNT($A$33:A42)&lt;=$G$40,0,$G$42),0)</f>
        <v>11333.33333333333</v>
      </c>
      <c r="D42" s="170">
        <f>IFERROR(DATE(YEAR(B42),MONTH(B42),1)," ")</f>
        <v>43160</v>
      </c>
      <c r="F42" t="s">
        <v>228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43210</v>
      </c>
      <c r="C43" s="27">
        <f>IF(B43&lt;&gt;"",IF(COUNT($A$33:A43)&lt;=$G$39,0,$G$41)+IF(COUNT($A$33:A43)&lt;=$G$40,0,$G$42),0)</f>
        <v>11333.33333333333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43240</v>
      </c>
      <c r="C44" s="27">
        <f>IF(B44&lt;&gt;"",IF(COUNT($A$33:A44)&lt;=$G$39,0,$G$41)+IF(COUNT($A$33:A44)&lt;=$G$40,0,$G$42),0)</f>
        <v>11333.33333333333</v>
      </c>
      <c r="D44" s="170">
        <f>IFERROR(DATE(YEAR(B44),MONTH(B44),1)," ")</f>
        <v>43221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43271</v>
      </c>
      <c r="C45" s="27">
        <f>IF(B45&lt;&gt;"",IF(COUNT($A$33:A45)&lt;=$G$39,0,$G$41)+IF(COUNT($A$33:A45)&lt;=$G$40,0,$G$42),0)</f>
        <v>11333.33333333333</v>
      </c>
      <c r="D45" s="170">
        <f>IFERROR(DATE(YEAR(B45),MONTH(B45),1)," ")</f>
        <v>43252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43301</v>
      </c>
      <c r="C46" s="27">
        <f>IF(B46&lt;&gt;"",IF(COUNT($A$33:A46)&lt;=$G$39,0,$G$41)+IF(COUNT($A$33:A46)&lt;=$G$40,0,$G$42),0)</f>
        <v>11333.33333333333</v>
      </c>
      <c r="D46" s="170">
        <f>IFERROR(DATE(YEAR(B46),MONTH(B46),1)," ")</f>
        <v>43282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43332</v>
      </c>
      <c r="C47" s="27">
        <f>IF(B47&lt;&gt;"",IF(COUNT($A$33:A47)&lt;=$G$39,0,$G$41)+IF(COUNT($A$33:A47)&lt;=$G$40,0,$G$42),0)</f>
        <v>11333.33333333333</v>
      </c>
      <c r="D47" s="170">
        <f>IFERROR(DATE(YEAR(B47),MONTH(B47),1)," ")</f>
        <v>43313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43363</v>
      </c>
      <c r="C48" s="27">
        <f>IF(B48&lt;&gt;"",IF(COUNT($A$33:A48)&lt;=$G$39,0,$G$41)+IF(COUNT($A$33:A48)&lt;=$G$40,0,$G$42),0)</f>
        <v>11333.33333333333</v>
      </c>
      <c r="D48" s="170">
        <f>IFERROR(DATE(YEAR(B48),MONTH(B48),1)," ")</f>
        <v>43344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43393</v>
      </c>
      <c r="C49" s="27">
        <f>IF(B49&lt;&gt;"",IF(COUNT($A$33:A49)&lt;=$G$39,0,$G$41)+IF(COUNT($A$33:A49)&lt;=$G$40,0,$G$42),0)</f>
        <v>11333.33333333333</v>
      </c>
      <c r="D49" s="170">
        <f>IFERROR(DATE(YEAR(B49),MONTH(B49),1)," ")</f>
        <v>43374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43424</v>
      </c>
      <c r="C50" s="27">
        <f>IF(B50&lt;&gt;"",IF(COUNT($A$33:A50)&lt;=$G$39,0,$G$41)+IF(COUNT($A$33:A50)&lt;=$G$40,0,$G$42),0)</f>
        <v>11333.33333333333</v>
      </c>
      <c r="D50" s="170">
        <f>IFERROR(DATE(YEAR(B50),MONTH(B50),1)," ")</f>
        <v>43405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43454</v>
      </c>
      <c r="C51" s="27">
        <f>IF(B51&lt;&gt;"",IF(COUNT($A$33:A51)&lt;=$G$39,0,$G$41)+IF(COUNT($A$33:A51)&lt;=$G$40,0,$G$42),0)</f>
        <v>11333.33333333333</v>
      </c>
      <c r="D51" s="170">
        <f>IFERROR(DATE(YEAR(B51),MONTH(B51),1)," ")</f>
        <v>43435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43485</v>
      </c>
      <c r="C52" s="27">
        <f>IF(B52&lt;&gt;"",IF(COUNT($A$33:A52)&lt;=$G$39,0,$G$41)+IF(COUNT($A$33:A52)&lt;=$G$40,0,$G$42),0)</f>
        <v>11333.33333333333</v>
      </c>
      <c r="D52" s="170">
        <f>IFERROR(DATE(YEAR(B52),MONTH(B52),1)," ")</f>
        <v>43466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43516</v>
      </c>
      <c r="C53" s="27">
        <f>IF(B53&lt;&gt;"",IF(COUNT($A$33:A53)&lt;=$G$39,0,$G$41)+IF(COUNT($A$33:A53)&lt;=$G$40,0,$G$42),0)</f>
        <v>11333.33333333333</v>
      </c>
      <c r="D53" s="170">
        <f>IFERROR(DATE(YEAR(B53),MONTH(B53),1)," ")</f>
        <v>43497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43544</v>
      </c>
      <c r="C54" s="27">
        <f>IF(B54&lt;&gt;"",IF(COUNT($A$33:A54)&lt;=$G$39,0,$G$41)+IF(COUNT($A$33:A54)&lt;=$G$40,0,$G$42),0)</f>
        <v>11333.33333333333</v>
      </c>
      <c r="D54" s="170">
        <f>IFERROR(DATE(YEAR(B54),MONTH(B54),1)," ")</f>
        <v>43525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43575</v>
      </c>
      <c r="C55" s="27">
        <f>IF(B55&lt;&gt;"",IF(COUNT($A$33:A55)&lt;=$G$39,0,$G$41)+IF(COUNT($A$33:A55)&lt;=$G$40,0,$G$42),0)</f>
        <v>11333.33333333333</v>
      </c>
      <c r="D55" s="170">
        <f>IFERROR(DATE(YEAR(B55),MONTH(B55),1)," ")</f>
        <v>43556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43605</v>
      </c>
      <c r="C56" s="27">
        <f>IF(B56&lt;&gt;"",IF(COUNT($A$33:A56)&lt;=$G$39,0,$G$41)+IF(COUNT($A$33:A56)&lt;=$G$40,0,$G$42),0)</f>
        <v>11333.33333333333</v>
      </c>
      <c r="D56" s="170">
        <f>IFERROR(DATE(YEAR(B56),MONTH(B56),1)," ")</f>
        <v>43586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99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201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295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295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102</v>
      </c>
      <c r="B41" s="191" t="s">
        <v>92</v>
      </c>
      <c r="C41" s="191" t="s">
        <v>97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313</v>
      </c>
      <c r="H52" s="12" t="s">
        <v>132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229</v>
      </c>
      <c r="E53" s="10" t="s">
        <v>188</v>
      </c>
      <c r="F53" s="10" t="s">
        <v>248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166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225</v>
      </c>
      <c r="J76" s="11" t="s">
        <v>347</v>
      </c>
      <c r="K76" s="11" t="s">
        <v>178</v>
      </c>
      <c r="AJ76" s="12"/>
    </row>
    <row r="77" spans="1:36">
      <c r="A77" t="s">
        <v>97</v>
      </c>
      <c r="B77" s="176">
        <v>0</v>
      </c>
      <c r="C77" s="12" t="s">
        <v>348</v>
      </c>
      <c r="E77" s="12" t="s">
        <v>92</v>
      </c>
      <c r="F77" s="12" t="s">
        <v>92</v>
      </c>
      <c r="G77" s="12" t="s">
        <v>349</v>
      </c>
      <c r="H77" s="12" t="s">
        <v>132</v>
      </c>
      <c r="I77" s="12" t="s">
        <v>350</v>
      </c>
      <c r="J77" s="136" t="s">
        <v>95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351</v>
      </c>
      <c r="D78" s="133"/>
      <c r="E78" s="12" t="s">
        <v>91</v>
      </c>
      <c r="F78" s="12" t="s">
        <v>352</v>
      </c>
      <c r="G78" s="12" t="s">
        <v>353</v>
      </c>
      <c r="H78" s="12" t="s">
        <v>314</v>
      </c>
      <c r="I78" s="12" t="s">
        <v>354</v>
      </c>
      <c r="J78" s="70" t="s">
        <v>355</v>
      </c>
      <c r="K78" s="12" t="s">
        <v>92</v>
      </c>
      <c r="AJ78" s="12"/>
    </row>
    <row r="79" spans="1:36">
      <c r="B79" s="176">
        <v>10</v>
      </c>
      <c r="C79" s="12" t="s">
        <v>98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166</v>
      </c>
      <c r="J79" s="70" t="s">
        <v>90</v>
      </c>
      <c r="K79" s="12" t="s">
        <v>92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96</v>
      </c>
      <c r="F80" s="12" t="s">
        <v>360</v>
      </c>
      <c r="J80" s="70" t="s">
        <v>361</v>
      </c>
      <c r="K80" s="12" t="s">
        <v>97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97</v>
      </c>
    </row>
    <row r="82" spans="1:36">
      <c r="B82" s="176">
        <v>40</v>
      </c>
      <c r="C82" s="12" t="s">
        <v>130</v>
      </c>
      <c r="D82" s="12">
        <f>D81+1</f>
        <v>4</v>
      </c>
      <c r="J82" s="70"/>
    </row>
    <row r="83" spans="1:36">
      <c r="B83" s="176">
        <v>50</v>
      </c>
      <c r="C83" s="12" t="s">
        <v>150</v>
      </c>
      <c r="D83" s="12">
        <f>D82+1</f>
        <v>5</v>
      </c>
    </row>
    <row r="84" spans="1:36">
      <c r="B84" s="176">
        <v>60</v>
      </c>
      <c r="C84" s="12" t="s">
        <v>151</v>
      </c>
      <c r="D84" s="12">
        <f>D83+1</f>
        <v>6</v>
      </c>
    </row>
    <row r="85" spans="1:36">
      <c r="B85" s="176">
        <v>70</v>
      </c>
      <c r="C85" s="12" t="s">
        <v>152</v>
      </c>
      <c r="D85" s="12">
        <f>D84+1</f>
        <v>7</v>
      </c>
    </row>
    <row r="86" spans="1:36">
      <c r="B86" s="176">
        <v>80</v>
      </c>
      <c r="C86" s="12" t="s">
        <v>93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100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