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<sst xmlns="http://schemas.openxmlformats.org/spreadsheetml/2006/main" uniqueCount="364">
  <si>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</si>
  <si>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</si>
  <si>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</si>
  <si>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</si>
  <si>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</si>
  <si>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</si>
  <si>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</si>
  <si>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</si>
  <si>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</si>
  <si>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</si>
  <si>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</si>
  <si>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</si>
  <si>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</si>
  <si>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</si>
  <si>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</si>
  <si>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</si>
  <si>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</si>
  <si>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</si>
  <si>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</si>
  <si>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</si>
  <si>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</si>
  <si>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</si>
  <si>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</si>
  <si>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</si>
  <si>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</si>
  <si>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</si>
  <si>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</si>
  <si>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</si>
  <si>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</si>
  <si>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</si>
  <si>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</si>
  <si>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</si>
  <si>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</si>
  <si>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</si>
  <si>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</si>
  <si>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</si>
  <si>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</si>
  <si>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</si>
  <si>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</si>
  <si>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</si>
  <si>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</si>
  <si>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</si>
  <si>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</si>
  <si>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</si>
  <si>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</si>
  <si>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</si>
  <si>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</si>
  <si>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</si>
  <si>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</si>
  <si>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</si>
  <si>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</si>
  <si>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</si>
  <si>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</si>
  <si>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</si>
  <si>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</si>
  <si>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</si>
  <si>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</si>
  <si>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</si>
  <si>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</si>
  <si>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</si>
  <si>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</si>
  <si>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</si>
  <si>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</si>
  <si>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</si>
  <si>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</si>
  <si>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</si>
  <si>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</si>
  <si>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</si>
  <si>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</si>
  <si>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</si>
  <si>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</si>
  <si>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</si>
  <si>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</si>
  <si>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</si>
  <si>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</si>
  <si>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</si>
  <si>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</si>
  <si>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</si>
  <si>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</si>
  <si>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</si>
  <si>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</si>
  <si>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</si>
  <si>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</si>
  <si>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</si>
  <si>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</si>
  <si>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</si>
  <si>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</si>
  <si>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</si>
  <si>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</si>
  <si>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</si>
  <si>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</si>
  <si>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</si>
  <si>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</si>
  <si>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</si>
  <si>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</si>
  <si>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</si>
  <si>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</si>
  <si>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</si>
  <si>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</si>
  <si>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</si>
  <si>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</si>
  <si>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</si>
  <si>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</si>
  <si>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</si>
  <si>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</si>
  <si>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</si>
  <si>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</si>
  <si>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</si>
  <si>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</si>
  <si>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</si>
  <si>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</si>
  <si>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</si>
  <si>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</si>
  <si>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</si>
  <si>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</si>
  <si>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</si>
  <si>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</si>
  <si>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</si>
  <si>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April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</si>
  <si>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</si>
  <si>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</si>
  <si>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</si>
  <si>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</si>
  <si>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</si>
  <si>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</si>
  <si>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</si>
  <si>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</si>
  <si>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</si>
  <si>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</si>
  <si>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</si>
  <si>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</si>
  <si>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</si>
  <si>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</si>
  <si>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</si>
  <si>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</si>
  <si>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</si>
  <si>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</si>
  <si>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</si>
  <si>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</si>
  <si>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</si>
  <si>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</si>
  <si>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</si>
  <si>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</si>
  <si>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</si>
  <si>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</si>
  <si>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</si>
  <si>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2017/5/9</t>
  </si>
  <si>
    <t>Loan terms</t>
  </si>
  <si>
    <t>Expected disbursement date</t>
  </si>
  <si>
    <t>Expected first repayment date</t>
  </si>
  <si>
    <t>2017/6/9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</si>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</sst>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0.5494505494505495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13814</v>
      </c>
      <c r="I7" s="80">
        <f>IF(ISERROR(VLOOKUP(MONTH(I5),Inputs!$D$66:$D$71,1,0)),"",INDEX(Inputs!$B$66:$B$71,MATCH(MONTH(Output!I5),Inputs!$D$66:$D$71,0))-INDEX(Inputs!$C$66:$C$71,MATCH(MONTH(Output!I5),Inputs!$D$66:$D$71,0)))</f>
        <v>56443</v>
      </c>
      <c r="J7" s="80">
        <f>IF(ISERROR(VLOOKUP(MONTH(J5),Inputs!$D$66:$D$71,1,0)),"",INDEX(Inputs!$B$66:$B$71,MATCH(MONTH(Output!J5),Inputs!$D$66:$D$71,0))-INDEX(Inputs!$C$66:$C$71,MATCH(MONTH(Output!J5),Inputs!$D$66:$D$71,0)))</f>
        <v>7178</v>
      </c>
      <c r="K7" s="80">
        <f>IF(ISERROR(VLOOKUP(MONTH(K5),Inputs!$D$66:$D$71,1,0)),"",INDEX(Inputs!$B$66:$B$71,MATCH(MONTH(Output!K5),Inputs!$D$66:$D$71,0))-INDEX(Inputs!$C$66:$C$71,MATCH(MONTH(Output!K5),Inputs!$D$66:$D$71,0)))</f>
        <v>2116</v>
      </c>
      <c r="L7" s="80">
        <f>IF(ISERROR(VLOOKUP(MONTH(L5),Inputs!$D$66:$D$71,1,0)),"",INDEX(Inputs!$B$66:$B$71,MATCH(MONTH(Output!L5),Inputs!$D$66:$D$71,0))-INDEX(Inputs!$C$66:$C$71,MATCH(MONTH(Output!L5),Inputs!$D$66:$D$71,0)))</f>
        <v>6500</v>
      </c>
      <c r="M7" s="80">
        <f>IF(ISERROR(VLOOKUP(MONTH(M5),Inputs!$D$66:$D$71,1,0)),"",INDEX(Inputs!$B$66:$B$71,MATCH(MONTH(Output!M5),Inputs!$D$66:$D$71,0))-INDEX(Inputs!$C$66:$C$71,MATCH(MONTH(Output!M5),Inputs!$D$66:$D$71,0)))</f>
        <v>7550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13814</v>
      </c>
      <c r="U7" s="80">
        <f>IF(ISERROR(VLOOKUP(MONTH(U5),Inputs!$D$66:$D$71,1,0)),"",INDEX(Inputs!$B$66:$B$71,MATCH(MONTH(Output!U5),Inputs!$D$66:$D$71,0))-INDEX(Inputs!$C$66:$C$71,MATCH(MONTH(Output!U5),Inputs!$D$66:$D$71,0)))</f>
        <v>56443</v>
      </c>
      <c r="V7" s="80">
        <f>IF(ISERROR(VLOOKUP(MONTH(V5),Inputs!$D$66:$D$71,1,0)),"",INDEX(Inputs!$B$66:$B$71,MATCH(MONTH(Output!V5),Inputs!$D$66:$D$71,0))-INDEX(Inputs!$C$66:$C$71,MATCH(MONTH(Output!V5),Inputs!$D$66:$D$71,0)))</f>
        <v>7178</v>
      </c>
      <c r="W7" s="80">
        <f>IF(ISERROR(VLOOKUP(MONTH(W5),Inputs!$D$66:$D$71,1,0)),"",INDEX(Inputs!$B$66:$B$71,MATCH(MONTH(Output!W5),Inputs!$D$66:$D$71,0))-INDEX(Inputs!$C$66:$C$71,MATCH(MONTH(Output!W5),Inputs!$D$66:$D$71,0)))</f>
        <v>2116</v>
      </c>
      <c r="X7" s="80">
        <f>IF(ISERROR(VLOOKUP(MONTH(X5),Inputs!$D$66:$D$71,1,0)),"",INDEX(Inputs!$B$66:$B$71,MATCH(MONTH(Output!X5),Inputs!$D$66:$D$71,0))-INDEX(Inputs!$C$66:$C$71,MATCH(MONTH(Output!X5),Inputs!$D$66:$D$71,0)))</f>
        <v>6500</v>
      </c>
      <c r="Y7" s="80">
        <f>IF(ISERROR(VLOOKUP(MONTH(Y5),Inputs!$D$66:$D$71,1,0)),"",INDEX(Inputs!$B$66:$B$71,MATCH(MONTH(Output!Y5),Inputs!$D$66:$D$71,0))-INDEX(Inputs!$C$66:$C$71,MATCH(MONTH(Output!Y5),Inputs!$D$66:$D$71,0)))</f>
        <v>7550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-19666.66666666667</v>
      </c>
      <c r="D11" s="80">
        <f>D6+D9-D10</f>
        <v>-19666.66666666667</v>
      </c>
      <c r="E11" s="80">
        <f>E6+E9-E10</f>
        <v>-19666.66666666667</v>
      </c>
      <c r="F11" s="80">
        <f>F6+F9-F10</f>
        <v>-19666.66666666667</v>
      </c>
      <c r="G11" s="80">
        <f>G6+G9-G10</f>
        <v>-19666.66666666667</v>
      </c>
      <c r="H11" s="80">
        <f>H6+H9-H10</f>
        <v>-19666.66666666667</v>
      </c>
      <c r="I11" s="80">
        <f>I6+I9-I10</f>
        <v>-19666.66666666667</v>
      </c>
      <c r="J11" s="80">
        <f>J6+J9-J10</f>
        <v>-19666.66666666667</v>
      </c>
      <c r="K11" s="80">
        <f>K6+K9-K10</f>
        <v>-19666.66666666667</v>
      </c>
      <c r="L11" s="80">
        <f>L6+L9-L10</f>
        <v>-19666.66666666667</v>
      </c>
      <c r="M11" s="80">
        <f>M6+M9-M10</f>
        <v>-19666.66666666667</v>
      </c>
      <c r="N11" s="80">
        <f>N6+N9-N10</f>
        <v>-19666.66666666667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-36000</v>
      </c>
      <c r="AA11" s="80">
        <f>SUM(B11:M11)</f>
        <v>-16333.33333333333</v>
      </c>
      <c r="AB11" s="46">
        <f>SUM(B11:Y11)</f>
        <v>-36000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0.09833333333333334</v>
      </c>
      <c r="D12" s="82">
        <f>IF(D13="Yes",IF(SUM($B$10:D10)/(SUM($B$6:D6)+SUM($B$9:D9))&lt;0,999.99,SUM($B$10:D10)/(SUM($B$6:D6)+SUM($B$9:D9))),"")</f>
        <v>0.1966666666666667</v>
      </c>
      <c r="E12" s="82">
        <f>IF(E13="Yes",IF(SUM($B$10:E10)/(SUM($B$6:E6)+SUM($B$9:E9))&lt;0,999.99,SUM($B$10:E10)/(SUM($B$6:E6)+SUM($B$9:E9))),"")</f>
        <v>0.295</v>
      </c>
      <c r="F12" s="82">
        <f>IF(F13="Yes",IF(SUM($B$10:F10)/(SUM($B$6:F6)+SUM($B$9:F9))&lt;0,999.99,SUM($B$10:F10)/(SUM($B$6:F6)+SUM($B$9:F9))),"")</f>
        <v>0.3933333333333334</v>
      </c>
      <c r="G12" s="82">
        <f>IF(G13="Yes",IF(SUM($B$10:G10)/(SUM($B$6:G6)+SUM($B$9:G9))&lt;0,999.99,SUM($B$10:G10)/(SUM($B$6:G6)+SUM($B$9:G9))),"")</f>
        <v>0.4916666666666667</v>
      </c>
      <c r="H12" s="82">
        <f>IF(H13="Yes",IF(SUM($B$10:H10)/(SUM($B$6:H6)+SUM($B$9:H9))&lt;0,999.99,SUM($B$10:H10)/(SUM($B$6:H6)+SUM($B$9:H9))),"")</f>
        <v>0.5900000000000001</v>
      </c>
      <c r="I12" s="82">
        <f>IF(I13="Yes",IF(SUM($B$10:I10)/(SUM($B$6:I6)+SUM($B$9:I9))&lt;0,999.99,SUM($B$10:I10)/(SUM($B$6:I6)+SUM($B$9:I9))),"")</f>
        <v>0.6883333333333335</v>
      </c>
      <c r="J12" s="82">
        <f>IF(J13="Yes",IF(SUM($B$10:J10)/(SUM($B$6:J6)+SUM($B$9:J9))&lt;0,999.99,SUM($B$10:J10)/(SUM($B$6:J6)+SUM($B$9:J9))),"")</f>
        <v>0.7866666666666667</v>
      </c>
      <c r="K12" s="82">
        <f>IF(K13="Yes",IF(SUM($B$10:K10)/(SUM($B$6:K6)+SUM($B$9:K9))&lt;0,999.99,SUM($B$10:K10)/(SUM($B$6:K6)+SUM($B$9:K9))),"")</f>
        <v>0.885</v>
      </c>
      <c r="L12" s="82">
        <f>IF(L13="Yes",IF(SUM($B$10:L10)/(SUM($B$6:L6)+SUM($B$9:L9))&lt;0,999.99,SUM($B$10:L10)/(SUM($B$6:L6)+SUM($B$9:L9))),"")</f>
        <v>0.9833333333333333</v>
      </c>
      <c r="M12" s="82">
        <f>IF(M13="Yes",IF(SUM($B$10:M10)/(SUM($B$6:M6)+SUM($B$9:M9))&lt;0,999.99,SUM($B$10:M10)/(SUM($B$6:M6)+SUM($B$9:M9))),"")</f>
        <v>1.081666666666667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14000</v>
      </c>
    </row>
    <row r="101" spans="1:30" customHeight="1" ht="15.75">
      <c r="A101" s="1" t="s">
        <v>67</v>
      </c>
      <c r="B101" s="19">
        <f>SUM(B94:B100)</f>
        <v>364000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120000</v>
      </c>
    </row>
    <row r="47" spans="1:48" customHeight="1" ht="30">
      <c r="A47" s="57" t="s">
        <v>124</v>
      </c>
      <c r="B47" s="161">
        <v>150000</v>
      </c>
    </row>
    <row r="48" spans="1:48" customHeight="1" ht="30">
      <c r="A48" s="57" t="s">
        <v>125</v>
      </c>
      <c r="B48" s="161">
        <v>14000</v>
      </c>
    </row>
    <row r="49" spans="1:48" customHeight="1" ht="30">
      <c r="A49" s="57" t="s">
        <v>126</v>
      </c>
      <c r="B49" s="161">
        <v>80000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142125</v>
      </c>
      <c r="C66" s="163">
        <v>134575</v>
      </c>
      <c r="D66" s="49">
        <f>INDEX(Parameters!$D$79:$D$90,MATCH(Inputs!A66,Parameters!$C$79:$C$90,0))</f>
        <v>4</v>
      </c>
    </row>
    <row r="67" spans="1:48">
      <c r="A67" s="143" t="s">
        <v>138</v>
      </c>
      <c r="B67" s="157">
        <v>347742</v>
      </c>
      <c r="C67" s="165">
        <v>341242</v>
      </c>
      <c r="D67" s="49">
        <f>INDEX(Parameters!$D$79:$D$90,MATCH(Inputs!A67,Parameters!$C$79:$C$90,0))</f>
        <v>3</v>
      </c>
    </row>
    <row r="68" spans="1:48">
      <c r="A68" s="143" t="s">
        <v>139</v>
      </c>
      <c r="B68" s="157">
        <v>156035</v>
      </c>
      <c r="C68" s="165">
        <v>153919</v>
      </c>
      <c r="D68" s="49">
        <f>INDEX(Parameters!$D$79:$D$90,MATCH(Inputs!A68,Parameters!$C$79:$C$90,0))</f>
        <v>2</v>
      </c>
    </row>
    <row r="69" spans="1:48">
      <c r="A69" s="143" t="s">
        <v>140</v>
      </c>
      <c r="B69" s="157">
        <v>514000</v>
      </c>
      <c r="C69" s="165">
        <v>506822</v>
      </c>
      <c r="D69" s="49">
        <f>INDEX(Parameters!$D$79:$D$90,MATCH(Inputs!A69,Parameters!$C$79:$C$90,0))</f>
        <v>1</v>
      </c>
    </row>
    <row r="70" spans="1:48">
      <c r="A70" s="143" t="s">
        <v>141</v>
      </c>
      <c r="B70" s="157">
        <v>368257</v>
      </c>
      <c r="C70" s="165">
        <v>311814</v>
      </c>
      <c r="D70" s="49">
        <f>INDEX(Parameters!$D$79:$D$90,MATCH(Inputs!A70,Parameters!$C$79:$C$90,0))</f>
        <v>12</v>
      </c>
    </row>
    <row r="71" spans="1:48">
      <c r="A71" s="144" t="s">
        <v>142</v>
      </c>
      <c r="B71" s="158">
        <v>210795</v>
      </c>
      <c r="C71" s="167">
        <v>196981</v>
      </c>
      <c r="D71" s="49">
        <f>INDEX(Parameters!$D$79:$D$90,MATCH(Inputs!A71,Parameters!$C$79:$C$90,0))</f>
        <v>11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2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200000</v>
      </c>
    </row>
    <row r="82" spans="1:48">
      <c r="A82" t="s">
        <v>152</v>
      </c>
      <c r="B82" s="161">
        <v>18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42895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42887</v>
      </c>
      <c r="F33" t="s">
        <v>148</v>
      </c>
      <c r="G33" s="128">
        <f>IF(Inputs!B79="","",DATE(YEAR(Inputs!B79),MONTH(Inputs!B79),DAY(Inputs!B79)))</f>
        <v>42864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42925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42917</v>
      </c>
      <c r="F34" t="s">
        <v>149</v>
      </c>
      <c r="G34" s="128">
        <f>IF(Inputs!B80="","",DATE(YEAR(Inputs!B80),MONTH(Inputs!B80),DAY(Inputs!B80)))</f>
        <v>42895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42956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42948</v>
      </c>
      <c r="F35" t="s">
        <v>151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42987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42979</v>
      </c>
      <c r="F36" t="s">
        <v>152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43017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43009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43048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43040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43078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43070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43109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43101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43140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43132</v>
      </c>
      <c r="F41" t="s">
        <v>215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43168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43160</v>
      </c>
      <c r="F42" t="s">
        <v>216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43199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43229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115</v>
      </c>
      <c r="C41" s="191" t="s">
        <v>303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120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303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303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303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303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303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303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303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303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303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303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303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303</v>
      </c>
      <c r="B77" s="176">
        <v>0</v>
      </c>
      <c r="C77" s="12" t="s">
        <v>340</v>
      </c>
      <c r="E77" s="12" t="s">
        <v>115</v>
      </c>
      <c r="F77" s="12" t="s">
        <v>115</v>
      </c>
      <c r="G77" s="12" t="s">
        <v>341</v>
      </c>
      <c r="H77" s="12" t="s">
        <v>120</v>
      </c>
      <c r="I77" s="12" t="s">
        <v>342</v>
      </c>
      <c r="J77" s="136" t="s">
        <v>343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306</v>
      </c>
      <c r="I78" s="12" t="s">
        <v>348</v>
      </c>
      <c r="J78" s="70" t="s">
        <v>349</v>
      </c>
      <c r="K78" s="12" t="s">
        <v>115</v>
      </c>
      <c r="AJ78" s="12"/>
    </row>
    <row r="79" spans="1:36">
      <c r="B79" s="176">
        <v>10</v>
      </c>
      <c r="C79" s="12" t="s">
        <v>140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115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303</v>
      </c>
      <c r="AJ80" s="12"/>
    </row>
    <row r="81" spans="1:36">
      <c r="B81" s="176">
        <v>30</v>
      </c>
      <c r="C81" s="12" t="s">
        <v>138</v>
      </c>
      <c r="D81" s="12">
        <f>D80+1</f>
        <v>3</v>
      </c>
      <c r="J81" s="70" t="s">
        <v>357</v>
      </c>
      <c r="K81" s="12" t="s">
        <v>303</v>
      </c>
    </row>
    <row r="82" spans="1:36">
      <c r="B82" s="176">
        <v>40</v>
      </c>
      <c r="C82" s="12" t="s">
        <v>118</v>
      </c>
      <c r="D82" s="12">
        <f>D81+1</f>
        <v>4</v>
      </c>
      <c r="J82" s="70"/>
    </row>
    <row r="83" spans="1:36">
      <c r="B83" s="176">
        <v>50</v>
      </c>
      <c r="C83" s="12" t="s">
        <v>358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