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<sst xmlns="http://schemas.openxmlformats.org/spreadsheetml/2006/main" uniqueCount="364">
  <si>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</si>
  <si>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</si>
  <si>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</si>
  <si>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</si>
  <si>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</si>
  <si>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</si>
  <si>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</si>
  <si>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</si>
  <si>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</si>
  <si>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</si>
  <si>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</si>
  <si>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</si>
  <si>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</si>
  <si>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</si>
  <si>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</si>
  <si>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</si>
  <si>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</si>
  <si>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</si>
  <si>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</si>
  <si>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</si>
  <si>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</si>
  <si>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</si>
  <si>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</si>
  <si>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</si>
  <si>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</si>
  <si>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</si>
  <si>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</si>
  <si>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</si>
  <si>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</si>
  <si>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</si>
  <si>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</si>
  <si>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</si>
  <si>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</si>
  <si>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</si>
  <si>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</si>
  <si>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</si>
  <si>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</si>
  <si>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</si>
  <si>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</si>
  <si>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</si>
  <si>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</si>
  <si>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</si>
  <si>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</si>
  <si>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</si>
  <si>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</si>
  <si>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</si>
  <si>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</si>
  <si>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</si>
  <si>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</si>
  <si>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</si>
  <si>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</si>
  <si>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</si>
  <si>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</si>
  <si>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</si>
  <si>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</si>
  <si>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</si>
  <si>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</si>
  <si>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</si>
  <si>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</si>
  <si>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</si>
  <si>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</si>
  <si>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</si>
  <si>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</si>
  <si>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</si>
  <si>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</si>
  <si>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</si>
  <si>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</si>
  <si>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</si>
  <si>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</si>
  <si>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</si>
  <si>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</si>
  <si>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</si>
  <si>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</si>
  <si>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</si>
  <si>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</si>
  <si>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</si>
  <si>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</si>
  <si>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</si>
  <si>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</si>
  <si>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</si>
  <si>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</si>
  <si>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</si>
  <si>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</si>
  <si>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</si>
  <si>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</si>
  <si>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</si>
  <si>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</si>
  <si>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</si>
  <si>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</si>
  <si>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</si>
  <si>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</si>
  <si>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</si>
  <si>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</si>
  <si>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</si>
  <si>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</si>
  <si>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</si>
  <si>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</si>
  <si>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</si>
  <si>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</si>
  <si>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</si>
  <si>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</si>
  <si>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</si>
  <si>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</si>
  <si>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No</t>
  </si>
  <si>
    <t>Sometimes</t>
  </si>
  <si>
    <t>Goat</t>
  </si>
  <si>
    <t>Cows_beef</t>
  </si>
  <si>
    <t>Yes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</si>
  <si>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</si>
  <si>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</si>
  <si>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</si>
  <si>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</si>
  <si>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</si>
  <si>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</si>
  <si>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</si>
  <si>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</si>
  <si>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</si>
  <si>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</si>
  <si>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</si>
  <si>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</si>
  <si>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</si>
  <si>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</si>
  <si>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</si>
  <si>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</si>
  <si>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</si>
  <si>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</si>
  <si>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</si>
  <si>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</si>
  <si>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</si>
  <si>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</si>
  <si>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</si>
  <si>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</si>
  <si>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</si>
  <si>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</si>
  <si>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</si>
  <si>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</si>
  <si>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</si>
  <si>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</si>
  <si>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</si>
  <si>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</si>
  <si>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</si>
  <si>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</si>
  <si>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November</t>
  </si>
  <si>
    <t>December</t>
  </si>
  <si>
    <t>January</t>
  </si>
  <si>
    <t>February</t>
  </si>
  <si>
    <t>March</t>
  </si>
  <si>
    <t>April</t>
  </si>
  <si>
    <t>Loan info</t>
  </si>
  <si>
    <t>Branch ID</t>
  </si>
  <si>
    <t>Submission date</t>
  </si>
  <si>
    <t>2017/5/10</t>
  </si>
  <si>
    <t>Loan terms</t>
  </si>
  <si>
    <t>Expected disbursement date</t>
  </si>
  <si>
    <t>Expected first repayment date</t>
  </si>
  <si>
    <t>2017/6/20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</si>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</sst>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Goat, Cows_beef,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0.4242768136541626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0.04192229038854806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19666.66666666667</v>
      </c>
    </row>
    <row r="17" spans="1:7">
      <c r="B17" s="1" t="s">
        <v>11</v>
      </c>
      <c r="C17" s="36">
        <f>SUM(Output!B6:M6)</f>
        <v>328837.4999999999</v>
      </c>
    </row>
    <row r="18" spans="1:7">
      <c r="B18" s="1" t="s">
        <v>12</v>
      </c>
      <c r="C18" s="36">
        <f>MIN(Output!B6:M6)</f>
        <v>27403.12499999999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27403.12499999999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27403.12499999999</v>
      </c>
      <c r="C6" s="51">
        <f>C30-C88</f>
        <v>27403.12499999999</v>
      </c>
      <c r="D6" s="51">
        <f>D30-D88</f>
        <v>27403.12499999999</v>
      </c>
      <c r="E6" s="51">
        <f>E30-E88</f>
        <v>27403.12499999999</v>
      </c>
      <c r="F6" s="51">
        <f>F30-F88</f>
        <v>27403.12499999999</v>
      </c>
      <c r="G6" s="51">
        <f>G30-G88</f>
        <v>27403.12499999999</v>
      </c>
      <c r="H6" s="51">
        <f>H30-H88</f>
        <v>27403.12499999999</v>
      </c>
      <c r="I6" s="51">
        <f>I30-I88</f>
        <v>27403.12499999999</v>
      </c>
      <c r="J6" s="51">
        <f>J30-J88</f>
        <v>27403.12499999999</v>
      </c>
      <c r="K6" s="51">
        <f>K30-K88</f>
        <v>27403.12499999999</v>
      </c>
      <c r="L6" s="51">
        <f>L30-L88</f>
        <v>27403.12499999999</v>
      </c>
      <c r="M6" s="51">
        <f>M30-M88</f>
        <v>27403.12499999999</v>
      </c>
      <c r="N6" s="51">
        <f>N30-N88</f>
        <v>27403.12499999999</v>
      </c>
      <c r="O6" s="51">
        <f>O30-O88</f>
        <v>27403.12499999999</v>
      </c>
      <c r="P6" s="51">
        <f>P30-P88</f>
        <v>27403.12499999999</v>
      </c>
      <c r="Q6" s="51">
        <f>Q30-Q88</f>
        <v>27403.12499999999</v>
      </c>
      <c r="R6" s="51">
        <f>R30-R88</f>
        <v>27403.12499999999</v>
      </c>
      <c r="S6" s="51">
        <f>S30-S88</f>
        <v>27403.12499999999</v>
      </c>
      <c r="T6" s="51">
        <f>T30-T88</f>
        <v>2511403.125</v>
      </c>
      <c r="U6" s="51">
        <f>U30-U88</f>
        <v>27403.12499999999</v>
      </c>
      <c r="V6" s="51">
        <f>V30-V88</f>
        <v>27403.12499999999</v>
      </c>
      <c r="W6" s="51">
        <f>W30-W88</f>
        <v>27403.12499999999</v>
      </c>
      <c r="X6" s="51">
        <f>X30-X88</f>
        <v>27403.12499999999</v>
      </c>
      <c r="Y6" s="51">
        <f>Y30-Y88</f>
        <v>27403.12499999999</v>
      </c>
      <c r="Z6" s="51">
        <f>SUMIF($B$13:$Y$13,"Yes",B6:Y6)</f>
        <v>356240.6249999999</v>
      </c>
      <c r="AA6" s="51">
        <f>AA30-AA88</f>
        <v>328837.4999999999</v>
      </c>
      <c r="AB6" s="51">
        <f>AB30-AB88</f>
        <v>3141674.999999999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703</v>
      </c>
      <c r="I7" s="80">
        <f>IF(ISERROR(VLOOKUP(MONTH(I5),Inputs!$D$66:$D$71,1,0)),"",INDEX(Inputs!$B$66:$B$71,MATCH(MONTH(Output!I5),Inputs!$D$66:$D$71,0))-INDEX(Inputs!$C$66:$C$71,MATCH(MONTH(Output!I5),Inputs!$D$66:$D$71,0)))</f>
        <v>1358</v>
      </c>
      <c r="J7" s="80">
        <f>IF(ISERROR(VLOOKUP(MONTH(J5),Inputs!$D$66:$D$71,1,0)),"",INDEX(Inputs!$B$66:$B$71,MATCH(MONTH(Output!J5),Inputs!$D$66:$D$71,0))-INDEX(Inputs!$C$66:$C$71,MATCH(MONTH(Output!J5),Inputs!$D$66:$D$71,0)))</f>
        <v>2586</v>
      </c>
      <c r="K7" s="80">
        <f>IF(ISERROR(VLOOKUP(MONTH(K5),Inputs!$D$66:$D$71,1,0)),"",INDEX(Inputs!$B$66:$B$71,MATCH(MONTH(Output!K5),Inputs!$D$66:$D$71,0))-INDEX(Inputs!$C$66:$C$71,MATCH(MONTH(Output!K5),Inputs!$D$66:$D$71,0)))</f>
        <v>1354</v>
      </c>
      <c r="L7" s="80">
        <f>IF(ISERROR(VLOOKUP(MONTH(L5),Inputs!$D$66:$D$71,1,0)),"",INDEX(Inputs!$B$66:$B$71,MATCH(MONTH(Output!L5),Inputs!$D$66:$D$71,0))-INDEX(Inputs!$C$66:$C$71,MATCH(MONTH(Output!L5),Inputs!$D$66:$D$71,0)))</f>
        <v>1220</v>
      </c>
      <c r="M7" s="80">
        <f>IF(ISERROR(VLOOKUP(MONTH(M5),Inputs!$D$66:$D$71,1,0)),"",INDEX(Inputs!$B$66:$B$71,MATCH(MONTH(Output!M5),Inputs!$D$66:$D$71,0))-INDEX(Inputs!$C$66:$C$71,MATCH(MONTH(Output!M5),Inputs!$D$66:$D$71,0)))</f>
        <v>2131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703</v>
      </c>
      <c r="U7" s="80">
        <f>IF(ISERROR(VLOOKUP(MONTH(U5),Inputs!$D$66:$D$71,1,0)),"",INDEX(Inputs!$B$66:$B$71,MATCH(MONTH(Output!U5),Inputs!$D$66:$D$71,0))-INDEX(Inputs!$C$66:$C$71,MATCH(MONTH(Output!U5),Inputs!$D$66:$D$71,0)))</f>
        <v>1358</v>
      </c>
      <c r="V7" s="80">
        <f>IF(ISERROR(VLOOKUP(MONTH(V5),Inputs!$D$66:$D$71,1,0)),"",INDEX(Inputs!$B$66:$B$71,MATCH(MONTH(Output!V5),Inputs!$D$66:$D$71,0))-INDEX(Inputs!$C$66:$C$71,MATCH(MONTH(Output!V5),Inputs!$D$66:$D$71,0)))</f>
        <v>2586</v>
      </c>
      <c r="W7" s="80">
        <f>IF(ISERROR(VLOOKUP(MONTH(W5),Inputs!$D$66:$D$71,1,0)),"",INDEX(Inputs!$B$66:$B$71,MATCH(MONTH(Output!W5),Inputs!$D$66:$D$71,0))-INDEX(Inputs!$C$66:$C$71,MATCH(MONTH(Output!W5),Inputs!$D$66:$D$71,0)))</f>
        <v>1354</v>
      </c>
      <c r="X7" s="80">
        <f>IF(ISERROR(VLOOKUP(MONTH(X5),Inputs!$D$66:$D$71,1,0)),"",INDEX(Inputs!$B$66:$B$71,MATCH(MONTH(Output!X5),Inputs!$D$66:$D$71,0))-INDEX(Inputs!$C$66:$C$71,MATCH(MONTH(Output!X5),Inputs!$D$66:$D$71,0)))</f>
        <v>1220</v>
      </c>
      <c r="Y7" s="80">
        <f>IF(ISERROR(VLOOKUP(MONTH(Y5),Inputs!$D$66:$D$71,1,0)),"",INDEX(Inputs!$B$66:$B$71,MATCH(MONTH(Output!Y5),Inputs!$D$66:$D$71,0))-INDEX(Inputs!$C$66:$C$71,MATCH(MONTH(Output!Y5),Inputs!$D$66:$D$71,0)))</f>
        <v>2131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19666.66666666667</v>
      </c>
      <c r="D10" s="37">
        <f>SUMPRODUCT((Calculations!$D$33:$D$84=Output!D5)+0,Calculations!$C$33:$C$84)</f>
        <v>19666.66666666667</v>
      </c>
      <c r="E10" s="37">
        <f>SUMPRODUCT((Calculations!$D$33:$D$84=Output!E5)+0,Calculations!$C$33:$C$84)</f>
        <v>19666.66666666667</v>
      </c>
      <c r="F10" s="37">
        <f>SUMPRODUCT((Calculations!$D$33:$D$84=Output!F5)+0,Calculations!$C$33:$C$84)</f>
        <v>19666.66666666667</v>
      </c>
      <c r="G10" s="37">
        <f>SUMPRODUCT((Calculations!$D$33:$D$84=Output!G5)+0,Calculations!$C$33:$C$84)</f>
        <v>19666.66666666667</v>
      </c>
      <c r="H10" s="37">
        <f>SUMPRODUCT((Calculations!$D$33:$D$84=Output!H5)+0,Calculations!$C$33:$C$84)</f>
        <v>19666.66666666667</v>
      </c>
      <c r="I10" s="37">
        <f>SUMPRODUCT((Calculations!$D$33:$D$84=Output!I5)+0,Calculations!$C$33:$C$84)</f>
        <v>19666.66666666667</v>
      </c>
      <c r="J10" s="37">
        <f>SUMPRODUCT((Calculations!$D$33:$D$84=Output!J5)+0,Calculations!$C$33:$C$84)</f>
        <v>19666.66666666667</v>
      </c>
      <c r="K10" s="37">
        <f>SUMPRODUCT((Calculations!$D$33:$D$84=Output!K5)+0,Calculations!$C$33:$C$84)</f>
        <v>19666.66666666667</v>
      </c>
      <c r="L10" s="37">
        <f>SUMPRODUCT((Calculations!$D$33:$D$84=Output!L5)+0,Calculations!$C$33:$C$84)</f>
        <v>19666.66666666667</v>
      </c>
      <c r="M10" s="37">
        <f>SUMPRODUCT((Calculations!$D$33:$D$84=Output!M5)+0,Calculations!$C$33:$C$84)</f>
        <v>19666.66666666667</v>
      </c>
      <c r="N10" s="37">
        <f>SUMPRODUCT((Calculations!$D$33:$D$84=Output!N5)+0,Calculations!$C$33:$C$84)</f>
        <v>19666.66666666667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216333.3333333333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227403.125</v>
      </c>
      <c r="C11" s="80">
        <f>C6+C9-C10</f>
        <v>7736.458333333318</v>
      </c>
      <c r="D11" s="80">
        <f>D6+D9-D10</f>
        <v>7736.458333333318</v>
      </c>
      <c r="E11" s="80">
        <f>E6+E9-E10</f>
        <v>7736.458333333318</v>
      </c>
      <c r="F11" s="80">
        <f>F6+F9-F10</f>
        <v>7736.458333333318</v>
      </c>
      <c r="G11" s="80">
        <f>G6+G9-G10</f>
        <v>7736.458333333318</v>
      </c>
      <c r="H11" s="80">
        <f>H6+H9-H10</f>
        <v>7736.458333333318</v>
      </c>
      <c r="I11" s="80">
        <f>I6+I9-I10</f>
        <v>7736.458333333318</v>
      </c>
      <c r="J11" s="80">
        <f>J6+J9-J10</f>
        <v>7736.458333333318</v>
      </c>
      <c r="K11" s="80">
        <f>K6+K9-K10</f>
        <v>7736.458333333318</v>
      </c>
      <c r="L11" s="80">
        <f>L6+L9-L10</f>
        <v>7736.458333333318</v>
      </c>
      <c r="M11" s="80">
        <f>M6+M9-M10</f>
        <v>7736.458333333318</v>
      </c>
      <c r="N11" s="80">
        <f>N6+N9-N10</f>
        <v>7736.458333333318</v>
      </c>
      <c r="O11" s="80">
        <f>O6+O9-O10</f>
        <v>27403.12499999999</v>
      </c>
      <c r="P11" s="80">
        <f>P6+P9-P10</f>
        <v>27403.12499999999</v>
      </c>
      <c r="Q11" s="80">
        <f>Q6+Q9-Q10</f>
        <v>27403.12499999999</v>
      </c>
      <c r="R11" s="80">
        <f>R6+R9-R10</f>
        <v>27403.12499999999</v>
      </c>
      <c r="S11" s="80">
        <f>S6+S9-S10</f>
        <v>27403.12499999999</v>
      </c>
      <c r="T11" s="80">
        <f>T6+T9-T10</f>
        <v>2511403.125</v>
      </c>
      <c r="U11" s="80">
        <f>U6+U9-U10</f>
        <v>27403.12499999999</v>
      </c>
      <c r="V11" s="80">
        <f>V6+V9-V10</f>
        <v>27403.12499999999</v>
      </c>
      <c r="W11" s="80">
        <f>W6+W9-W10</f>
        <v>27403.12499999999</v>
      </c>
      <c r="X11" s="80">
        <f>X6+X9-X10</f>
        <v>27403.12499999999</v>
      </c>
      <c r="Y11" s="80">
        <f>Y6+Y9-Y10</f>
        <v>27403.12499999999</v>
      </c>
      <c r="Z11" s="85">
        <f>SUMIF($B$13:$Y$13,"Yes",B11:Y11)</f>
        <v>320240.6249999998</v>
      </c>
      <c r="AA11" s="80">
        <f>SUM(B11:M11)</f>
        <v>312504.1666666665</v>
      </c>
      <c r="AB11" s="46">
        <f>SUM(B11:Y11)</f>
        <v>3105674.999999999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0.07718282682103234</v>
      </c>
      <c r="D12" s="82">
        <f>IF(D13="Yes",IF(SUM($B$10:D10)/(SUM($B$6:D6)+SUM($B$9:D9))&lt;0,999.99,SUM($B$10:D10)/(SUM($B$6:D6)+SUM($B$9:D9))),"")</f>
        <v>0.139376423385415</v>
      </c>
      <c r="E12" s="82">
        <f>IF(E13="Yes",IF(SUM($B$10:E10)/(SUM($B$6:E6)+SUM($B$9:E9))&lt;0,999.99,SUM($B$10:E10)/(SUM($B$6:E6)+SUM($B$9:E9))),"")</f>
        <v>0.1905607816221891</v>
      </c>
      <c r="F12" s="82">
        <f>IF(F13="Yes",IF(SUM($B$10:F10)/(SUM($B$6:F6)+SUM($B$9:F9))&lt;0,999.99,SUM($B$10:F10)/(SUM($B$6:F6)+SUM($B$9:F9))),"")</f>
        <v>0.2334214227208803</v>
      </c>
      <c r="G12" s="82">
        <f>IF(G13="Yes",IF(SUM($B$10:G10)/(SUM($B$6:G6)+SUM($B$9:G9))&lt;0,999.99,SUM($B$10:G10)/(SUM($B$6:G6)+SUM($B$9:G9))),"")</f>
        <v>0.2698360974382722</v>
      </c>
      <c r="H12" s="82">
        <f>IF(H13="Yes",IF(SUM($B$10:H10)/(SUM($B$6:H6)+SUM($B$9:H9))&lt;0,999.99,SUM($B$10:H10)/(SUM($B$6:H6)+SUM($B$9:H9))),"")</f>
        <v>0.3011572541732134</v>
      </c>
      <c r="I12" s="82">
        <f>IF(I13="Yes",IF(SUM($B$10:I10)/(SUM($B$6:I6)+SUM($B$9:I9))&lt;0,999.99,SUM($B$10:I10)/(SUM($B$6:I6)+SUM($B$9:I9))),"")</f>
        <v>0.328383723935039</v>
      </c>
      <c r="J12" s="82">
        <f>IF(J13="Yes",IF(SUM($B$10:J10)/(SUM($B$6:J6)+SUM($B$9:J9))&lt;0,999.99,SUM($B$10:J10)/(SUM($B$6:J6)+SUM($B$9:J9))),"")</f>
        <v>0.3522692023332238</v>
      </c>
      <c r="K12" s="82">
        <f>IF(K13="Yes",IF(SUM($B$10:K10)/(SUM($B$6:K6)+SUM($B$9:K9))&lt;0,999.99,SUM($B$10:K10)/(SUM($B$6:K6)+SUM($B$9:K9))),"")</f>
        <v>0.3733931043575714</v>
      </c>
      <c r="L12" s="82">
        <f>IF(L13="Yes",IF(SUM($B$10:L10)/(SUM($B$6:L6)+SUM($B$9:L9))&lt;0,999.99,SUM($B$10:L10)/(SUM($B$6:L6)+SUM($B$9:L9))),"")</f>
        <v>0.3922081860994605</v>
      </c>
      <c r="M12" s="82">
        <f>IF(M13="Yes",IF(SUM($B$10:M10)/(SUM($B$6:M6)+SUM($B$9:M9))&lt;0,999.99,SUM($B$10:M10)/(SUM($B$6:M6)+SUM($B$9:M9))),"")</f>
        <v>0.4090733605943854</v>
      </c>
      <c r="N12" s="82">
        <f>IF(N13="Yes",IF(SUM($B$10:N10)/(SUM($B$6:N6)+SUM($B$9:N9))&lt;0,999.99,SUM($B$10:N10)/(SUM($B$6:N6)+SUM($B$9:N9))),"")</f>
        <v>0.4242768136541626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105000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10781.25</v>
      </c>
      <c r="C24" s="36">
        <f>IFERROR(Calculations!$P14/12,"")</f>
        <v>10781.25</v>
      </c>
      <c r="D24" s="36">
        <f>IFERROR(Calculations!$P14/12,"")</f>
        <v>10781.25</v>
      </c>
      <c r="E24" s="36">
        <f>IFERROR(Calculations!$P14/12,"")</f>
        <v>10781.25</v>
      </c>
      <c r="F24" s="36">
        <f>IFERROR(Calculations!$P14/12,"")</f>
        <v>10781.25</v>
      </c>
      <c r="G24" s="36">
        <f>IFERROR(Calculations!$P14/12,"")</f>
        <v>10781.25</v>
      </c>
      <c r="H24" s="36">
        <f>IFERROR(Calculations!$P14/12,"")</f>
        <v>10781.25</v>
      </c>
      <c r="I24" s="36">
        <f>IFERROR(Calculations!$P14/12,"")</f>
        <v>10781.25</v>
      </c>
      <c r="J24" s="36">
        <f>IFERROR(Calculations!$P14/12,"")</f>
        <v>10781.25</v>
      </c>
      <c r="K24" s="36">
        <f>IFERROR(Calculations!$P14/12,"")</f>
        <v>10781.25</v>
      </c>
      <c r="L24" s="36">
        <f>IFERROR(Calculations!$P14/12,"")</f>
        <v>10781.25</v>
      </c>
      <c r="M24" s="36">
        <f>IFERROR(Calculations!$P14/12,"")</f>
        <v>10781.25</v>
      </c>
      <c r="N24" s="36">
        <f>IFERROR(Calculations!$P14/12,"")</f>
        <v>10781.25</v>
      </c>
      <c r="O24" s="36">
        <f>IFERROR(Calculations!$P14/12,"")</f>
        <v>10781.25</v>
      </c>
      <c r="P24" s="36">
        <f>IFERROR(Calculations!$P14/12,"")</f>
        <v>10781.25</v>
      </c>
      <c r="Q24" s="36">
        <f>IFERROR(Calculations!$P14/12,"")</f>
        <v>10781.25</v>
      </c>
      <c r="R24" s="36">
        <f>IFERROR(Calculations!$P14/12,"")</f>
        <v>10781.25</v>
      </c>
      <c r="S24" s="36">
        <f>IFERROR(Calculations!$P14/12,"")</f>
        <v>10781.25</v>
      </c>
      <c r="T24" s="36">
        <f>IFERROR(Calculations!$P14/12,"")</f>
        <v>10781.25</v>
      </c>
      <c r="U24" s="36">
        <f>IFERROR(Calculations!$P14/12,"")</f>
        <v>10781.25</v>
      </c>
      <c r="V24" s="36">
        <f>IFERROR(Calculations!$P14/12,"")</f>
        <v>10781.25</v>
      </c>
      <c r="W24" s="36">
        <f>IFERROR(Calculations!$P14/12,"")</f>
        <v>10781.25</v>
      </c>
      <c r="X24" s="36">
        <f>IFERROR(Calculations!$P14/12,"")</f>
        <v>10781.25</v>
      </c>
      <c r="Y24" s="36">
        <f>IFERROR(Calculations!$P14/12,"")</f>
        <v>10781.25</v>
      </c>
      <c r="Z24" s="36">
        <f>SUMIF($B$13:$Y$13,"Yes",B24:Y24)</f>
        <v>140156.25</v>
      </c>
      <c r="AA24" s="36">
        <f>SUM(B24:M24)</f>
        <v>129375</v>
      </c>
      <c r="AB24" s="46">
        <f>SUM(B24:Y24)</f>
        <v>258750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4312.499999999999</v>
      </c>
      <c r="C25" s="36">
        <f>IFERROR(Calculations!$P15/12,"")</f>
        <v>4312.499999999999</v>
      </c>
      <c r="D25" s="36">
        <f>IFERROR(Calculations!$P15/12,"")</f>
        <v>4312.499999999999</v>
      </c>
      <c r="E25" s="36">
        <f>IFERROR(Calculations!$P15/12,"")</f>
        <v>4312.499999999999</v>
      </c>
      <c r="F25" s="36">
        <f>IFERROR(Calculations!$P15/12,"")</f>
        <v>4312.499999999999</v>
      </c>
      <c r="G25" s="36">
        <f>IFERROR(Calculations!$P15/12,"")</f>
        <v>4312.499999999999</v>
      </c>
      <c r="H25" s="36">
        <f>IFERROR(Calculations!$P15/12,"")</f>
        <v>4312.499999999999</v>
      </c>
      <c r="I25" s="36">
        <f>IFERROR(Calculations!$P15/12,"")</f>
        <v>4312.499999999999</v>
      </c>
      <c r="J25" s="36">
        <f>IFERROR(Calculations!$P15/12,"")</f>
        <v>4312.499999999999</v>
      </c>
      <c r="K25" s="36">
        <f>IFERROR(Calculations!$P15/12,"")</f>
        <v>4312.499999999999</v>
      </c>
      <c r="L25" s="36">
        <f>IFERROR(Calculations!$P15/12,"")</f>
        <v>4312.499999999999</v>
      </c>
      <c r="M25" s="36">
        <f>IFERROR(Calculations!$P15/12,"")</f>
        <v>4312.499999999999</v>
      </c>
      <c r="N25" s="36">
        <f>IFERROR(Calculations!$P15/12,"")</f>
        <v>4312.499999999999</v>
      </c>
      <c r="O25" s="36">
        <f>IFERROR(Calculations!$P15/12,"")</f>
        <v>4312.499999999999</v>
      </c>
      <c r="P25" s="36">
        <f>IFERROR(Calculations!$P15/12,"")</f>
        <v>4312.499999999999</v>
      </c>
      <c r="Q25" s="36">
        <f>IFERROR(Calculations!$P15/12,"")</f>
        <v>4312.499999999999</v>
      </c>
      <c r="R25" s="36">
        <f>IFERROR(Calculations!$P15/12,"")</f>
        <v>4312.499999999999</v>
      </c>
      <c r="S25" s="36">
        <f>IFERROR(Calculations!$P15/12,"")</f>
        <v>4312.499999999999</v>
      </c>
      <c r="T25" s="36">
        <f>IFERROR(Calculations!$P15/12,"")</f>
        <v>4312.499999999999</v>
      </c>
      <c r="U25" s="36">
        <f>IFERROR(Calculations!$P15/12,"")</f>
        <v>4312.499999999999</v>
      </c>
      <c r="V25" s="36">
        <f>IFERROR(Calculations!$P15/12,"")</f>
        <v>4312.499999999999</v>
      </c>
      <c r="W25" s="36">
        <f>IFERROR(Calculations!$P15/12,"")</f>
        <v>4312.499999999999</v>
      </c>
      <c r="X25" s="36">
        <f>IFERROR(Calculations!$P15/12,"")</f>
        <v>4312.499999999999</v>
      </c>
      <c r="Y25" s="36">
        <f>IFERROR(Calculations!$P15/12,"")</f>
        <v>4312.499999999999</v>
      </c>
      <c r="Z25" s="36">
        <f>SUMIF($B$13:$Y$13,"Yes",B25:Y25)</f>
        <v>56062.49999999999</v>
      </c>
      <c r="AA25" s="36">
        <f>SUM(B25:M25)</f>
        <v>51749.99999999999</v>
      </c>
      <c r="AB25" s="46">
        <f>SUM(B25:Y25)</f>
        <v>103500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68999.99999999999</v>
      </c>
      <c r="C26" s="36">
        <f>IFERROR(Calculations!$P16/12,"")</f>
        <v>68999.99999999999</v>
      </c>
      <c r="D26" s="36">
        <f>IFERROR(Calculations!$P16/12,"")</f>
        <v>68999.99999999999</v>
      </c>
      <c r="E26" s="36">
        <f>IFERROR(Calculations!$P16/12,"")</f>
        <v>68999.99999999999</v>
      </c>
      <c r="F26" s="36">
        <f>IFERROR(Calculations!$P16/12,"")</f>
        <v>68999.99999999999</v>
      </c>
      <c r="G26" s="36">
        <f>IFERROR(Calculations!$P16/12,"")</f>
        <v>68999.99999999999</v>
      </c>
      <c r="H26" s="36">
        <f>IFERROR(Calculations!$P16/12,"")</f>
        <v>68999.99999999999</v>
      </c>
      <c r="I26" s="36">
        <f>IFERROR(Calculations!$P16/12,"")</f>
        <v>68999.99999999999</v>
      </c>
      <c r="J26" s="36">
        <f>IFERROR(Calculations!$P16/12,"")</f>
        <v>68999.99999999999</v>
      </c>
      <c r="K26" s="36">
        <f>IFERROR(Calculations!$P16/12,"")</f>
        <v>68999.99999999999</v>
      </c>
      <c r="L26" s="36">
        <f>IFERROR(Calculations!$P16/12,"")</f>
        <v>68999.99999999999</v>
      </c>
      <c r="M26" s="36">
        <f>IFERROR(Calculations!$P16/12,"")</f>
        <v>68999.99999999999</v>
      </c>
      <c r="N26" s="36">
        <f>IFERROR(Calculations!$P16/12,"")</f>
        <v>68999.99999999999</v>
      </c>
      <c r="O26" s="36">
        <f>IFERROR(Calculations!$P16/12,"")</f>
        <v>68999.99999999999</v>
      </c>
      <c r="P26" s="36">
        <f>IFERROR(Calculations!$P16/12,"")</f>
        <v>68999.99999999999</v>
      </c>
      <c r="Q26" s="36">
        <f>IFERROR(Calculations!$P16/12,"")</f>
        <v>68999.99999999999</v>
      </c>
      <c r="R26" s="36">
        <f>IFERROR(Calculations!$P16/12,"")</f>
        <v>68999.99999999999</v>
      </c>
      <c r="S26" s="36">
        <f>IFERROR(Calculations!$P16/12,"")</f>
        <v>68999.99999999999</v>
      </c>
      <c r="T26" s="36">
        <f>IFERROR(Calculations!$P16/12,"")</f>
        <v>68999.99999999999</v>
      </c>
      <c r="U26" s="36">
        <f>IFERROR(Calculations!$P16/12,"")</f>
        <v>68999.99999999999</v>
      </c>
      <c r="V26" s="36">
        <f>IFERROR(Calculations!$P16/12,"")</f>
        <v>68999.99999999999</v>
      </c>
      <c r="W26" s="36">
        <f>IFERROR(Calculations!$P16/12,"")</f>
        <v>68999.99999999999</v>
      </c>
      <c r="X26" s="36">
        <f>IFERROR(Calculations!$P16/12,"")</f>
        <v>68999.99999999999</v>
      </c>
      <c r="Y26" s="36">
        <f>IFERROR(Calculations!$P16/12,"")</f>
        <v>68999.99999999999</v>
      </c>
      <c r="Z26" s="36">
        <f>SUMIF($B$13:$Y$13,"Yes",B26:Y26)</f>
        <v>896999.9999999999</v>
      </c>
      <c r="AA26" s="36">
        <f>SUM(B26:M26)</f>
        <v>827999.9999999999</v>
      </c>
      <c r="AB26" s="46">
        <f>SUM(B26:Y26)</f>
        <v>1656000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2484000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2484000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84093.74999999999</v>
      </c>
      <c r="C30" s="19">
        <f>SUM(C18:C29)</f>
        <v>84093.74999999999</v>
      </c>
      <c r="D30" s="19">
        <f>SUM(D18:D29)</f>
        <v>84093.74999999999</v>
      </c>
      <c r="E30" s="19">
        <f>SUM(E18:E29)</f>
        <v>84093.74999999999</v>
      </c>
      <c r="F30" s="19">
        <f>SUM(F18:F29)</f>
        <v>84093.74999999999</v>
      </c>
      <c r="G30" s="19">
        <f>SUM(G18:G29)</f>
        <v>84093.74999999999</v>
      </c>
      <c r="H30" s="19">
        <f>SUM(H18:H29)</f>
        <v>84093.74999999999</v>
      </c>
      <c r="I30" s="19">
        <f>SUM(I18:I29)</f>
        <v>84093.74999999999</v>
      </c>
      <c r="J30" s="19">
        <f>SUM(J18:J29)</f>
        <v>84093.74999999999</v>
      </c>
      <c r="K30" s="19">
        <f>SUM(K18:K29)</f>
        <v>84093.74999999999</v>
      </c>
      <c r="L30" s="19">
        <f>SUM(L18:L29)</f>
        <v>84093.74999999999</v>
      </c>
      <c r="M30" s="19">
        <f>SUM(M18:M29)</f>
        <v>84093.74999999999</v>
      </c>
      <c r="N30" s="19">
        <f>SUM(N18:N29)</f>
        <v>84093.74999999999</v>
      </c>
      <c r="O30" s="19">
        <f>SUM(O18:O29)</f>
        <v>84093.74999999999</v>
      </c>
      <c r="P30" s="19">
        <f>SUM(P18:P29)</f>
        <v>84093.74999999999</v>
      </c>
      <c r="Q30" s="19">
        <f>SUM(Q18:Q29)</f>
        <v>84093.74999999999</v>
      </c>
      <c r="R30" s="19">
        <f>SUM(R18:R29)</f>
        <v>84093.74999999999</v>
      </c>
      <c r="S30" s="19">
        <f>SUM(S18:S29)</f>
        <v>84093.74999999999</v>
      </c>
      <c r="T30" s="19">
        <f>SUM(T18:T29)</f>
        <v>2568093.75</v>
      </c>
      <c r="U30" s="19">
        <f>SUM(U18:U29)</f>
        <v>84093.74999999999</v>
      </c>
      <c r="V30" s="19">
        <f>SUM(V18:V29)</f>
        <v>84093.74999999999</v>
      </c>
      <c r="W30" s="19">
        <f>SUM(W18:W29)</f>
        <v>84093.74999999999</v>
      </c>
      <c r="X30" s="19">
        <f>SUM(X18:X29)</f>
        <v>84093.74999999999</v>
      </c>
      <c r="Y30" s="19">
        <f>SUM(Y18:Y29)</f>
        <v>84093.74999999999</v>
      </c>
      <c r="Z30" s="19">
        <f>SUMIF($B$13:$Y$13,"Yes",B30:Y30)</f>
        <v>1093218.75</v>
      </c>
      <c r="AA30" s="19">
        <f>SUM(B30:M30)</f>
        <v>1009125</v>
      </c>
      <c r="AB30" s="19">
        <f>SUM(B30:Y30)</f>
        <v>4502249.999999999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30796.875</v>
      </c>
      <c r="C74" s="46">
        <f>SUM(Calculations!$Q$14:$Q$16)/12</f>
        <v>30796.875</v>
      </c>
      <c r="D74" s="46">
        <f>SUM(Calculations!$Q$14:$Q$16)/12</f>
        <v>30796.875</v>
      </c>
      <c r="E74" s="46">
        <f>SUM(Calculations!$Q$14:$Q$16)/12</f>
        <v>30796.875</v>
      </c>
      <c r="F74" s="46">
        <f>SUM(Calculations!$Q$14:$Q$16)/12</f>
        <v>30796.875</v>
      </c>
      <c r="G74" s="46">
        <f>SUM(Calculations!$Q$14:$Q$16)/12</f>
        <v>30796.875</v>
      </c>
      <c r="H74" s="46">
        <f>SUM(Calculations!$Q$14:$Q$16)/12</f>
        <v>30796.875</v>
      </c>
      <c r="I74" s="46">
        <f>SUM(Calculations!$Q$14:$Q$16)/12</f>
        <v>30796.875</v>
      </c>
      <c r="J74" s="46">
        <f>SUM(Calculations!$Q$14:$Q$16)/12</f>
        <v>30796.875</v>
      </c>
      <c r="K74" s="46">
        <f>SUM(Calculations!$Q$14:$Q$16)/12</f>
        <v>30796.875</v>
      </c>
      <c r="L74" s="46">
        <f>SUM(Calculations!$Q$14:$Q$16)/12</f>
        <v>30796.875</v>
      </c>
      <c r="M74" s="46">
        <f>SUM(Calculations!$Q$14:$Q$16)/12</f>
        <v>30796.875</v>
      </c>
      <c r="N74" s="46">
        <f>SUM(Calculations!$Q$14:$Q$16)/12</f>
        <v>30796.875</v>
      </c>
      <c r="O74" s="46">
        <f>SUM(Calculations!$Q$14:$Q$16)/12</f>
        <v>30796.875</v>
      </c>
      <c r="P74" s="46">
        <f>SUM(Calculations!$Q$14:$Q$16)/12</f>
        <v>30796.875</v>
      </c>
      <c r="Q74" s="46">
        <f>SUM(Calculations!$Q$14:$Q$16)/12</f>
        <v>30796.875</v>
      </c>
      <c r="R74" s="46">
        <f>SUM(Calculations!$Q$14:$Q$16)/12</f>
        <v>30796.875</v>
      </c>
      <c r="S74" s="46">
        <f>SUM(Calculations!$Q$14:$Q$16)/12</f>
        <v>30796.875</v>
      </c>
      <c r="T74" s="46">
        <f>SUM(Calculations!$Q$14:$Q$16)/12</f>
        <v>30796.875</v>
      </c>
      <c r="U74" s="46">
        <f>SUM(Calculations!$Q$14:$Q$16)/12</f>
        <v>30796.875</v>
      </c>
      <c r="V74" s="46">
        <f>SUM(Calculations!$Q$14:$Q$16)/12</f>
        <v>30796.875</v>
      </c>
      <c r="W74" s="46">
        <f>SUM(Calculations!$Q$14:$Q$16)/12</f>
        <v>30796.875</v>
      </c>
      <c r="X74" s="46">
        <f>SUM(Calculations!$Q$14:$Q$16)/12</f>
        <v>30796.875</v>
      </c>
      <c r="Y74" s="46">
        <f>SUM(Calculations!$Q$14:$Q$16)/12</f>
        <v>30796.875</v>
      </c>
      <c r="Z74" s="46">
        <f>SUMIF($B$13:$Y$13,"Yes",B74:Y74)</f>
        <v>400359.375</v>
      </c>
      <c r="AA74" s="46">
        <f>SUM(B74:M74)</f>
        <v>369562.5</v>
      </c>
      <c r="AB74" s="46">
        <f>SUM(B74:Y74)</f>
        <v>739125</v>
      </c>
    </row>
    <row r="75" spans="1:30">
      <c r="A75" s="16" t="s">
        <v>47</v>
      </c>
      <c r="B75" s="46">
        <f>SUM(Calculations!$R$14:$R$16)/12</f>
        <v>3250</v>
      </c>
      <c r="C75" s="46">
        <f>SUM(Calculations!$R$14:$R$16)/12</f>
        <v>3250</v>
      </c>
      <c r="D75" s="46">
        <f>SUM(Calculations!$R$14:$R$16)/12</f>
        <v>3250</v>
      </c>
      <c r="E75" s="46">
        <f>SUM(Calculations!$R$14:$R$16)/12</f>
        <v>3250</v>
      </c>
      <c r="F75" s="46">
        <f>SUM(Calculations!$R$14:$R$16)/12</f>
        <v>3250</v>
      </c>
      <c r="G75" s="46">
        <f>SUM(Calculations!$R$14:$R$16)/12</f>
        <v>3250</v>
      </c>
      <c r="H75" s="46">
        <f>SUM(Calculations!$R$14:$R$16)/12</f>
        <v>3250</v>
      </c>
      <c r="I75" s="46">
        <f>SUM(Calculations!$R$14:$R$16)/12</f>
        <v>3250</v>
      </c>
      <c r="J75" s="46">
        <f>SUM(Calculations!$R$14:$R$16)/12</f>
        <v>3250</v>
      </c>
      <c r="K75" s="46">
        <f>SUM(Calculations!$R$14:$R$16)/12</f>
        <v>3250</v>
      </c>
      <c r="L75" s="46">
        <f>SUM(Calculations!$R$14:$R$16)/12</f>
        <v>3250</v>
      </c>
      <c r="M75" s="46">
        <f>SUM(Calculations!$R$14:$R$16)/12</f>
        <v>3250</v>
      </c>
      <c r="N75" s="46">
        <f>SUM(Calculations!$R$14:$R$16)/12</f>
        <v>3250</v>
      </c>
      <c r="O75" s="46">
        <f>SUM(Calculations!$R$14:$R$16)/12</f>
        <v>3250</v>
      </c>
      <c r="P75" s="46">
        <f>SUM(Calculations!$R$14:$R$16)/12</f>
        <v>3250</v>
      </c>
      <c r="Q75" s="46">
        <f>SUM(Calculations!$R$14:$R$16)/12</f>
        <v>3250</v>
      </c>
      <c r="R75" s="46">
        <f>SUM(Calculations!$R$14:$R$16)/12</f>
        <v>3250</v>
      </c>
      <c r="S75" s="46">
        <f>SUM(Calculations!$R$14:$R$16)/12</f>
        <v>3250</v>
      </c>
      <c r="T75" s="46">
        <f>SUM(Calculations!$R$14:$R$16)/12</f>
        <v>3250</v>
      </c>
      <c r="U75" s="46">
        <f>SUM(Calculations!$R$14:$R$16)/12</f>
        <v>3250</v>
      </c>
      <c r="V75" s="46">
        <f>SUM(Calculations!$R$14:$R$16)/12</f>
        <v>3250</v>
      </c>
      <c r="W75" s="46">
        <f>SUM(Calculations!$R$14:$R$16)/12</f>
        <v>3250</v>
      </c>
      <c r="X75" s="46">
        <f>SUM(Calculations!$R$14:$R$16)/12</f>
        <v>3250</v>
      </c>
      <c r="Y75" s="46">
        <f>SUM(Calculations!$R$14:$R$16)/12</f>
        <v>3250</v>
      </c>
      <c r="Z75" s="46">
        <f>SUMIF($B$13:$Y$13,"Yes",B75:Y75)</f>
        <v>42250</v>
      </c>
      <c r="AA75" s="46">
        <f>SUM(B75:M75)</f>
        <v>39000</v>
      </c>
      <c r="AB75" s="46">
        <f>SUM(B75:Y75)</f>
        <v>78000</v>
      </c>
    </row>
    <row r="76" spans="1:30">
      <c r="A76" s="16" t="s">
        <v>48</v>
      </c>
      <c r="B76" s="46">
        <f>SUM(Calculations!$S$14:$S$16)/12</f>
        <v>4375</v>
      </c>
      <c r="C76" s="46">
        <f>SUM(Calculations!$S$14:$S$16)/12</f>
        <v>4375</v>
      </c>
      <c r="D76" s="46">
        <f>SUM(Calculations!$S$14:$S$16)/12</f>
        <v>4375</v>
      </c>
      <c r="E76" s="46">
        <f>SUM(Calculations!$S$14:$S$16)/12</f>
        <v>4375</v>
      </c>
      <c r="F76" s="46">
        <f>SUM(Calculations!$S$14:$S$16)/12</f>
        <v>4375</v>
      </c>
      <c r="G76" s="46">
        <f>SUM(Calculations!$S$14:$S$16)/12</f>
        <v>4375</v>
      </c>
      <c r="H76" s="46">
        <f>SUM(Calculations!$S$14:$S$16)/12</f>
        <v>4375</v>
      </c>
      <c r="I76" s="46">
        <f>SUM(Calculations!$S$14:$S$16)/12</f>
        <v>4375</v>
      </c>
      <c r="J76" s="46">
        <f>SUM(Calculations!$S$14:$S$16)/12</f>
        <v>4375</v>
      </c>
      <c r="K76" s="46">
        <f>SUM(Calculations!$S$14:$S$16)/12</f>
        <v>4375</v>
      </c>
      <c r="L76" s="46">
        <f>SUM(Calculations!$S$14:$S$16)/12</f>
        <v>4375</v>
      </c>
      <c r="M76" s="46">
        <f>SUM(Calculations!$S$14:$S$16)/12</f>
        <v>4375</v>
      </c>
      <c r="N76" s="46">
        <f>SUM(Calculations!$S$14:$S$16)/12</f>
        <v>4375</v>
      </c>
      <c r="O76" s="46">
        <f>SUM(Calculations!$S$14:$S$16)/12</f>
        <v>4375</v>
      </c>
      <c r="P76" s="46">
        <f>SUM(Calculations!$S$14:$S$16)/12</f>
        <v>4375</v>
      </c>
      <c r="Q76" s="46">
        <f>SUM(Calculations!$S$14:$S$16)/12</f>
        <v>4375</v>
      </c>
      <c r="R76" s="46">
        <f>SUM(Calculations!$S$14:$S$16)/12</f>
        <v>4375</v>
      </c>
      <c r="S76" s="46">
        <f>SUM(Calculations!$S$14:$S$16)/12</f>
        <v>4375</v>
      </c>
      <c r="T76" s="46">
        <f>SUM(Calculations!$S$14:$S$16)/12</f>
        <v>4375</v>
      </c>
      <c r="U76" s="46">
        <f>SUM(Calculations!$S$14:$S$16)/12</f>
        <v>4375</v>
      </c>
      <c r="V76" s="46">
        <f>SUM(Calculations!$S$14:$S$16)/12</f>
        <v>4375</v>
      </c>
      <c r="W76" s="46">
        <f>SUM(Calculations!$S$14:$S$16)/12</f>
        <v>4375</v>
      </c>
      <c r="X76" s="46">
        <f>SUM(Calculations!$S$14:$S$16)/12</f>
        <v>4375</v>
      </c>
      <c r="Y76" s="46">
        <f>SUM(Calculations!$S$14:$S$16)/12</f>
        <v>4375</v>
      </c>
      <c r="Z76" s="46">
        <f>SUMIF($B$13:$Y$13,"Yes",B76:Y76)</f>
        <v>56875</v>
      </c>
      <c r="AA76" s="46">
        <f>SUM(B76:M76)</f>
        <v>52500</v>
      </c>
      <c r="AB76" s="46">
        <f>SUM(B76:Y76)</f>
        <v>105000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18268.75</v>
      </c>
      <c r="C81" s="46">
        <f>(SUM($AA$18:$AA$29)-SUM($AA$36,$AA$42,$AA$48,$AA$54,$AA$60,$AA$66,$AA$72:$AA$79))*Parameters!$B$37/12</f>
        <v>18268.75</v>
      </c>
      <c r="D81" s="46">
        <f>(SUM($AA$18:$AA$29)-SUM($AA$36,$AA$42,$AA$48,$AA$54,$AA$60,$AA$66,$AA$72:$AA$79))*Parameters!$B$37/12</f>
        <v>18268.75</v>
      </c>
      <c r="E81" s="46">
        <f>(SUM($AA$18:$AA$29)-SUM($AA$36,$AA$42,$AA$48,$AA$54,$AA$60,$AA$66,$AA$72:$AA$79))*Parameters!$B$37/12</f>
        <v>18268.75</v>
      </c>
      <c r="F81" s="46">
        <f>(SUM($AA$18:$AA$29)-SUM($AA$36,$AA$42,$AA$48,$AA$54,$AA$60,$AA$66,$AA$72:$AA$79))*Parameters!$B$37/12</f>
        <v>18268.75</v>
      </c>
      <c r="G81" s="46">
        <f>(SUM($AA$18:$AA$29)-SUM($AA$36,$AA$42,$AA$48,$AA$54,$AA$60,$AA$66,$AA$72:$AA$79))*Parameters!$B$37/12</f>
        <v>18268.75</v>
      </c>
      <c r="H81" s="46">
        <f>(SUM($AA$18:$AA$29)-SUM($AA$36,$AA$42,$AA$48,$AA$54,$AA$60,$AA$66,$AA$72:$AA$79))*Parameters!$B$37/12</f>
        <v>18268.75</v>
      </c>
      <c r="I81" s="46">
        <f>(SUM($AA$18:$AA$29)-SUM($AA$36,$AA$42,$AA$48,$AA$54,$AA$60,$AA$66,$AA$72:$AA$79))*Parameters!$B$37/12</f>
        <v>18268.75</v>
      </c>
      <c r="J81" s="46">
        <f>(SUM($AA$18:$AA$29)-SUM($AA$36,$AA$42,$AA$48,$AA$54,$AA$60,$AA$66,$AA$72:$AA$79))*Parameters!$B$37/12</f>
        <v>18268.75</v>
      </c>
      <c r="K81" s="46">
        <f>(SUM($AA$18:$AA$29)-SUM($AA$36,$AA$42,$AA$48,$AA$54,$AA$60,$AA$66,$AA$72:$AA$79))*Parameters!$B$37/12</f>
        <v>18268.75</v>
      </c>
      <c r="L81" s="46">
        <f>(SUM($AA$18:$AA$29)-SUM($AA$36,$AA$42,$AA$48,$AA$54,$AA$60,$AA$66,$AA$72:$AA$79))*Parameters!$B$37/12</f>
        <v>18268.75</v>
      </c>
      <c r="M81" s="46">
        <f>(SUM($AA$18:$AA$29)-SUM($AA$36,$AA$42,$AA$48,$AA$54,$AA$60,$AA$66,$AA$72:$AA$79))*Parameters!$B$37/12</f>
        <v>18268.75</v>
      </c>
      <c r="N81" s="46">
        <f>(SUM($AA$18:$AA$29)-SUM($AA$36,$AA$42,$AA$48,$AA$54,$AA$60,$AA$66,$AA$72:$AA$79))*Parameters!$B$37/12</f>
        <v>18268.75</v>
      </c>
      <c r="O81" s="46">
        <f>(SUM($AA$18:$AA$29)-SUM($AA$36,$AA$42,$AA$48,$AA$54,$AA$60,$AA$66,$AA$72:$AA$79))*Parameters!$B$37/12</f>
        <v>18268.75</v>
      </c>
      <c r="P81" s="46">
        <f>(SUM($AA$18:$AA$29)-SUM($AA$36,$AA$42,$AA$48,$AA$54,$AA$60,$AA$66,$AA$72:$AA$79))*Parameters!$B$37/12</f>
        <v>18268.75</v>
      </c>
      <c r="Q81" s="46">
        <f>(SUM($AA$18:$AA$29)-SUM($AA$36,$AA$42,$AA$48,$AA$54,$AA$60,$AA$66,$AA$72:$AA$79))*Parameters!$B$37/12</f>
        <v>18268.75</v>
      </c>
      <c r="R81" s="46">
        <f>(SUM($AA$18:$AA$29)-SUM($AA$36,$AA$42,$AA$48,$AA$54,$AA$60,$AA$66,$AA$72:$AA$79))*Parameters!$B$37/12</f>
        <v>18268.75</v>
      </c>
      <c r="S81" s="46">
        <f>(SUM($AA$18:$AA$29)-SUM($AA$36,$AA$42,$AA$48,$AA$54,$AA$60,$AA$66,$AA$72:$AA$79))*Parameters!$B$37/12</f>
        <v>18268.75</v>
      </c>
      <c r="T81" s="46">
        <f>(SUM($AA$18:$AA$29)-SUM($AA$36,$AA$42,$AA$48,$AA$54,$AA$60,$AA$66,$AA$72:$AA$79))*Parameters!$B$37/12</f>
        <v>18268.75</v>
      </c>
      <c r="U81" s="46">
        <f>(SUM($AA$18:$AA$29)-SUM($AA$36,$AA$42,$AA$48,$AA$54,$AA$60,$AA$66,$AA$72:$AA$79))*Parameters!$B$37/12</f>
        <v>18268.75</v>
      </c>
      <c r="V81" s="46">
        <f>(SUM($AA$18:$AA$29)-SUM($AA$36,$AA$42,$AA$48,$AA$54,$AA$60,$AA$66,$AA$72:$AA$79))*Parameters!$B$37/12</f>
        <v>18268.75</v>
      </c>
      <c r="W81" s="46">
        <f>(SUM($AA$18:$AA$29)-SUM($AA$36,$AA$42,$AA$48,$AA$54,$AA$60,$AA$66,$AA$72:$AA$79))*Parameters!$B$37/12</f>
        <v>18268.75</v>
      </c>
      <c r="X81" s="46">
        <f>(SUM($AA$18:$AA$29)-SUM($AA$36,$AA$42,$AA$48,$AA$54,$AA$60,$AA$66,$AA$72:$AA$79))*Parameters!$B$37/12</f>
        <v>18268.75</v>
      </c>
      <c r="Y81" s="46">
        <f>(SUM($AA$18:$AA$29)-SUM($AA$36,$AA$42,$AA$48,$AA$54,$AA$60,$AA$66,$AA$72:$AA$79))*Parameters!$B$37/12</f>
        <v>18268.75</v>
      </c>
      <c r="Z81" s="46">
        <f>SUMIF($B$13:$Y$13,"Yes",B81:Y81)</f>
        <v>237493.75</v>
      </c>
      <c r="AA81" s="46">
        <f>SUM(B81:M81)</f>
        <v>219225</v>
      </c>
      <c r="AB81" s="46">
        <f>SUM(B81:Y81)</f>
        <v>438449.9999999999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56690.625</v>
      </c>
      <c r="C88" s="19">
        <f>SUM(C72:C82,C66,C60,C54,C48,C42,C36)</f>
        <v>56690.625</v>
      </c>
      <c r="D88" s="19">
        <f>SUM(D72:D82,D66,D60,D54,D48,D42,D36)</f>
        <v>56690.625</v>
      </c>
      <c r="E88" s="19">
        <f>SUM(E72:E82,E66,E60,E54,E48,E42,E36)</f>
        <v>56690.625</v>
      </c>
      <c r="F88" s="19">
        <f>SUM(F72:F82,F66,F60,F54,F48,F42,F36)</f>
        <v>56690.625</v>
      </c>
      <c r="G88" s="19">
        <f>SUM(G72:G82,G66,G60,G54,G48,G42,G36)</f>
        <v>56690.625</v>
      </c>
      <c r="H88" s="19">
        <f>SUM(H72:H82,H66,H60,H54,H48,H42,H36)</f>
        <v>56690.625</v>
      </c>
      <c r="I88" s="19">
        <f>SUM(I72:I82,I66,I60,I54,I48,I42,I36)</f>
        <v>56690.625</v>
      </c>
      <c r="J88" s="19">
        <f>SUM(J72:J82,J66,J60,J54,J48,J42,J36)</f>
        <v>56690.625</v>
      </c>
      <c r="K88" s="19">
        <f>SUM(K72:K82,K66,K60,K54,K48,K42,K36)</f>
        <v>56690.625</v>
      </c>
      <c r="L88" s="19">
        <f>SUM(L72:L82,L66,L60,L54,L48,L42,L36)</f>
        <v>56690.625</v>
      </c>
      <c r="M88" s="19">
        <f>SUM(M72:M82,M66,M60,M54,M48,M42,M36)</f>
        <v>56690.625</v>
      </c>
      <c r="N88" s="19">
        <f>SUM(N72:N82,N66,N60,N54,N48,N42,N36)</f>
        <v>56690.625</v>
      </c>
      <c r="O88" s="19">
        <f>SUM(O72:O82,O66,O60,O54,O48,O42,O36)</f>
        <v>56690.625</v>
      </c>
      <c r="P88" s="19">
        <f>SUM(P72:P82,P66,P60,P54,P48,P42,P36)</f>
        <v>56690.625</v>
      </c>
      <c r="Q88" s="19">
        <f>SUM(Q72:Q82,Q66,Q60,Q54,Q48,Q42,Q36)</f>
        <v>56690.625</v>
      </c>
      <c r="R88" s="19">
        <f>SUM(R72:R82,R66,R60,R54,R48,R42,R36)</f>
        <v>56690.625</v>
      </c>
      <c r="S88" s="19">
        <f>SUM(S72:S82,S66,S60,S54,S48,S42,S36)</f>
        <v>56690.625</v>
      </c>
      <c r="T88" s="19">
        <f>SUM(T72:T82,T66,T60,T54,T48,T42,T36)</f>
        <v>56690.625</v>
      </c>
      <c r="U88" s="19">
        <f>SUM(U72:U82,U66,U60,U54,U48,U42,U36)</f>
        <v>56690.625</v>
      </c>
      <c r="V88" s="19">
        <f>SUM(V72:V82,V66,V60,V54,V48,V42,V36)</f>
        <v>56690.625</v>
      </c>
      <c r="W88" s="19">
        <f>SUM(W72:W82,W66,W60,W54,W48,W42,W36)</f>
        <v>56690.625</v>
      </c>
      <c r="X88" s="19">
        <f>SUM(X72:X82,X66,X60,X54,X48,X42,X36)</f>
        <v>56690.625</v>
      </c>
      <c r="Y88" s="19">
        <f>SUM(Y72:Y82,Y66,Y60,Y54,Y48,Y42,Y36)</f>
        <v>56690.625</v>
      </c>
      <c r="Z88" s="19">
        <f>SUMIF($B$13:$Y$13,"Yes",B88:Y88)</f>
        <v>736978.125</v>
      </c>
      <c r="AA88" s="19">
        <f>SUM(B88:M88)</f>
        <v>680287.5</v>
      </c>
      <c r="AB88" s="19">
        <f>SUM(B88:Y88)</f>
        <v>1360575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2040000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30000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4890000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60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45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30</v>
      </c>
      <c r="D21" s="150">
        <v>30</v>
      </c>
      <c r="E21" s="23"/>
      <c r="F21" s="150" t="s">
        <v>107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100</v>
      </c>
    </row>
    <row r="27" spans="1:48">
      <c r="A27" s="14" t="s">
        <v>110</v>
      </c>
    </row>
    <row r="29" spans="1:48">
      <c r="A29" s="45" t="s">
        <v>111</v>
      </c>
      <c r="B29" s="156"/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107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107</v>
      </c>
    </row>
    <row r="45" spans="1:48">
      <c r="A45" s="56" t="s">
        <v>126</v>
      </c>
      <c r="B45" s="161">
        <v>500000</v>
      </c>
    </row>
    <row r="46" spans="1:48" customHeight="1" ht="30">
      <c r="A46" s="57" t="s">
        <v>127</v>
      </c>
      <c r="B46" s="161">
        <v>30000</v>
      </c>
    </row>
    <row r="47" spans="1:48" customHeight="1" ht="30">
      <c r="A47" s="57" t="s">
        <v>128</v>
      </c>
      <c r="B47" s="161">
        <v>300000</v>
      </c>
    </row>
    <row r="48" spans="1:48" customHeight="1" ht="30">
      <c r="A48" s="57" t="s">
        <v>129</v>
      </c>
      <c r="B48" s="161">
        <v>2000000</v>
      </c>
    </row>
    <row r="49" spans="1:48" customHeight="1" ht="30">
      <c r="A49" s="57" t="s">
        <v>130</v>
      </c>
      <c r="B49" s="161">
        <v>20000</v>
      </c>
    </row>
    <row r="50" spans="1:48">
      <c r="A50" s="43"/>
      <c r="B50" s="36"/>
    </row>
    <row r="51" spans="1:48">
      <c r="A51" s="58" t="s">
        <v>131</v>
      </c>
      <c r="B51" s="161">
        <v>5000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308203</v>
      </c>
      <c r="C66" s="163">
        <v>307500</v>
      </c>
      <c r="D66" s="49">
        <f>INDEX(Parameters!$D$79:$D$90,MATCH(Inputs!A66,Parameters!$C$79:$C$90,0))</f>
        <v>11</v>
      </c>
    </row>
    <row r="67" spans="1:48">
      <c r="A67" s="143" t="s">
        <v>143</v>
      </c>
      <c r="B67" s="157">
        <v>207358</v>
      </c>
      <c r="C67" s="165">
        <v>206000</v>
      </c>
      <c r="D67" s="49">
        <f>INDEX(Parameters!$D$79:$D$90,MATCH(Inputs!A67,Parameters!$C$79:$C$90,0))</f>
        <v>12</v>
      </c>
    </row>
    <row r="68" spans="1:48">
      <c r="A68" s="143" t="s">
        <v>144</v>
      </c>
      <c r="B68" s="157">
        <v>186586</v>
      </c>
      <c r="C68" s="165">
        <v>184000</v>
      </c>
      <c r="D68" s="49">
        <f>INDEX(Parameters!$D$79:$D$90,MATCH(Inputs!A68,Parameters!$C$79:$C$90,0))</f>
        <v>1</v>
      </c>
    </row>
    <row r="69" spans="1:48">
      <c r="A69" s="143" t="s">
        <v>145</v>
      </c>
      <c r="B69" s="157">
        <v>188304</v>
      </c>
      <c r="C69" s="165">
        <v>186950</v>
      </c>
      <c r="D69" s="49">
        <f>INDEX(Parameters!$D$79:$D$90,MATCH(Inputs!A69,Parameters!$C$79:$C$90,0))</f>
        <v>2</v>
      </c>
    </row>
    <row r="70" spans="1:48">
      <c r="A70" s="143" t="s">
        <v>146</v>
      </c>
      <c r="B70" s="157">
        <v>281720</v>
      </c>
      <c r="C70" s="165">
        <v>280500</v>
      </c>
      <c r="D70" s="49">
        <f>INDEX(Parameters!$D$79:$D$90,MATCH(Inputs!A70,Parameters!$C$79:$C$90,0))</f>
        <v>3</v>
      </c>
    </row>
    <row r="71" spans="1:48">
      <c r="A71" s="144" t="s">
        <v>147</v>
      </c>
      <c r="B71" s="158">
        <v>528331</v>
      </c>
      <c r="C71" s="167">
        <v>526200</v>
      </c>
      <c r="D71" s="49">
        <f>INDEX(Parameters!$D$79:$D$90,MATCH(Inputs!A71,Parameters!$C$79:$C$90,0))</f>
        <v>4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6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200000</v>
      </c>
    </row>
    <row r="82" spans="1:48">
      <c r="A82" t="s">
        <v>157</v>
      </c>
      <c r="B82" s="161">
        <v>18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5</v>
      </c>
      <c r="AD4" s="60">
        <f>IF($A4=0,1/12,IFERROR(INDEX(Parameters!$X$2:$AI$17,MATCH(Calculations!$A4,Parameters!$A$2:$A$17,0),MONTH(Calculations!AD$3)),1/12))</f>
        <v>6</v>
      </c>
      <c r="AE4" s="60">
        <f>IF($A4=0,1/12,IFERROR(INDEX(Parameters!$X$2:$AI$17,MATCH(Calculations!$A4,Parameters!$A$2:$A$17,0),MONTH(Calculations!AE$3)),1/12))</f>
        <v>7</v>
      </c>
      <c r="AF4" s="60">
        <f>IF($A4=0,1/12,IFERROR(INDEX(Parameters!$X$2:$AI$17,MATCH(Calculations!$A4,Parameters!$A$2:$A$17,0),MONTH(Calculations!AF$3)),1/12))</f>
        <v>8</v>
      </c>
      <c r="AG4" s="60">
        <f>IF($A4=0,1/12,IFERROR(INDEX(Parameters!$X$2:$AI$17,MATCH(Calculations!$A4,Parameters!$A$2:$A$17,0),MONTH(Calculations!AG$3)),1/12))</f>
        <v>9</v>
      </c>
      <c r="AH4" s="60">
        <f>IF($A4=0,1/12,IFERROR(INDEX(Parameters!$X$2:$AI$17,MATCH(Calculations!$A4,Parameters!$A$2:$A$17,0),MONTH(Calculations!AH$3)),1/12))</f>
        <v>10</v>
      </c>
      <c r="AI4" s="60">
        <f>IF($A4=0,1/12,IFERROR(INDEX(Parameters!$X$2:$AI$17,MATCH(Calculations!$A4,Parameters!$A$2:$A$17,0),MONTH(Calculations!AI$3)),1/12))</f>
        <v>11</v>
      </c>
      <c r="AJ4" s="60">
        <f>IF($A4=0,1/12,IFERROR(INDEX(Parameters!$X$2:$AI$17,MATCH(Calculations!$A4,Parameters!$A$2:$A$17,0),MONTH(Calculations!AJ$3)),1/12))</f>
        <v>12</v>
      </c>
      <c r="AK4" s="60">
        <f>IF($A4=0,1/12,IFERROR(INDEX(Parameters!$X$2:$AI$17,MATCH(Calculations!$A4,Parameters!$A$2:$A$17,0),MONTH(Calculations!AK$3)),1/12))</f>
        <v>1</v>
      </c>
      <c r="AL4" s="60">
        <f>IF($A4=0,1/12,IFERROR(INDEX(Parameters!$X$2:$AI$17,MATCH(Calculations!$A4,Parameters!$A$2:$A$17,0),MONTH(Calculations!AL$3)),1/12))</f>
        <v>2</v>
      </c>
      <c r="AM4" s="60">
        <f>IF($A4=0,1/12,IFERROR(INDEX(Parameters!$X$2:$AI$17,MATCH(Calculations!$A4,Parameters!$A$2:$A$17,0),MONTH(Calculations!AM$3)),1/12))</f>
        <v>3</v>
      </c>
      <c r="AN4" s="60">
        <f>IF($A4=0,1/12,IFERROR(INDEX(Parameters!$X$2:$AI$17,MATCH(Calculations!$A4,Parameters!$A$2:$A$17,0),MONTH(Calculations!AN$3)),1/12))</f>
        <v>4</v>
      </c>
      <c r="AO4" s="60">
        <f>IF($A4=0,1/12,IFERROR(INDEX(Parameters!$X$2:$AI$17,MATCH(Calculations!$A4,Parameters!$A$2:$A$17,0),MONTH(Calculations!AO$3)),1/12))</f>
        <v>5</v>
      </c>
      <c r="AP4" s="60">
        <f>IF($A4=0,1/12,IFERROR(INDEX(Parameters!$X$2:$AI$17,MATCH(Calculations!$A4,Parameters!$A$2:$A$17,0),MONTH(Calculations!AP$3)),1/12))</f>
        <v>6</v>
      </c>
      <c r="AQ4" s="60">
        <f>IF($A4=0,1/12,IFERROR(INDEX(Parameters!$X$2:$AI$17,MATCH(Calculations!$A4,Parameters!$A$2:$A$17,0),MONTH(Calculations!AQ$3)),1/12))</f>
        <v>7</v>
      </c>
      <c r="AR4" s="60">
        <f>IF($A4=0,1/12,IFERROR(INDEX(Parameters!$X$2:$AI$17,MATCH(Calculations!$A4,Parameters!$A$2:$A$17,0),MONTH(Calculations!AR$3)),1/12))</f>
        <v>8</v>
      </c>
      <c r="AS4" s="60">
        <f>IF($A4=0,1/12,IFERROR(INDEX(Parameters!$X$2:$AI$17,MATCH(Calculations!$A4,Parameters!$A$2:$A$17,0),MONTH(Calculations!AS$3)),1/12))</f>
        <v>9</v>
      </c>
      <c r="AT4" s="60">
        <f>IF($A4=0,1/12,IFERROR(INDEX(Parameters!$X$2:$AI$17,MATCH(Calculations!$A4,Parameters!$A$2:$A$17,0),MONTH(Calculations!AT$3)),1/12))</f>
        <v>10</v>
      </c>
      <c r="AU4" s="60">
        <f>IF($A4=0,1/12,IFERROR(INDEX(Parameters!$X$2:$AI$17,MATCH(Calculations!$A4,Parameters!$A$2:$A$17,0),MONTH(Calculations!AU$3)),1/12))</f>
        <v>11</v>
      </c>
      <c r="AV4" s="60">
        <f>IF($A4=0,1/12,IFERROR(INDEX(Parameters!$X$2:$AI$17,MATCH(Calculations!$A4,Parameters!$A$2:$A$17,0),MONTH(Calculations!AV$3)),1/12))</f>
        <v>12</v>
      </c>
      <c r="AW4" s="60">
        <f>IF($A4=0,1/12,IFERROR(INDEX(Parameters!$X$2:$AI$17,MATCH(Calculations!$A4,Parameters!$A$2:$A$17,0),MONTH(Calculations!AW$3)),1/12))</f>
        <v>1</v>
      </c>
      <c r="AX4" s="60">
        <f>IF($A4=0,1/12,IFERROR(INDEX(Parameters!$X$2:$AI$17,MATCH(Calculations!$A4,Parameters!$A$2:$A$17,0),MONTH(Calculations!AX$3)),1/12))</f>
        <v>2</v>
      </c>
      <c r="AY4" s="60">
        <f>IF($A4=0,1/12,IFERROR(INDEX(Parameters!$X$2:$AI$17,MATCH(Calculations!$A4,Parameters!$A$2:$A$17,0),MONTH(Calculations!AY$3)),1/12))</f>
        <v>3</v>
      </c>
      <c r="AZ4" s="60">
        <f>IF($A4=0,1/12,IFERROR(INDEX(Parameters!$X$2:$AI$17,MATCH(Calculations!$A4,Parameters!$A$2:$A$17,0),MONTH(Calculations!AZ$3)),1/12))</f>
        <v>4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60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1.15</v>
      </c>
      <c r="H14" s="121">
        <f>IFERROR(IF(B14="meat",INDEX(Parameters!$A$22:$P$29,MATCH(Calculations!A14,Parameters!$A$22:$A$29,0),MATCH(Parameters!$I$22,Parameters!$A$22:$P$22,0))*G14,""),"")</f>
        <v>17.25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129375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45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9.199999999999999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51749.99999999999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41062.5</v>
      </c>
      <c r="R15" s="64">
        <f>IFERROR(D15*INDEX(Parameters!$A$22:$P$29,MATCH(Calculations!$A15,Parameters!$A$22:$A$29,0),MATCH(Parameters!$M$22,Parameters!$A$22:$P$22,0)),"")</f>
        <v>9000</v>
      </c>
      <c r="S15" s="64">
        <f>IFERROR(D15*INDEX(Parameters!$A$22:$P$29,MATCH(Calculations!$A15,Parameters!$A$22:$A$29,0),MATCH(Parameters!$N$22,Parameters!$A$22:$P$22,0)),"")</f>
        <v>13500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30</v>
      </c>
      <c r="E16" s="16">
        <f>Inputs!D21</f>
        <v>30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3.6</v>
      </c>
      <c r="H16" s="122">
        <f>IFERROR(IF(B16="meat",INDEX(Parameters!$A$22:$P$29,MATCH(Calculations!A16,Parameters!$A$22:$A$29,0),MATCH(Parameters!$I$22,Parameters!$A$22:$P$22,0))*G16,""),"")</f>
        <v>359.9999999999999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827999.9999999998</v>
      </c>
      <c r="Q16" s="64">
        <f>IFERROR(D16*INDEX(Parameters!$A$22:$P$29,MATCH(Calculations!$A16,Parameters!$A$22:$A$29,0),MATCH(Parameters!$L$22,Parameters!$A$22:$P$22,0))*IF(Inputs!I21="Always",1,IF(Inputs!I21="Sometimes",0.5,0))*365,"")</f>
        <v>273750</v>
      </c>
      <c r="R16" s="64">
        <f>IFERROR(D16*INDEX(Parameters!$A$22:$P$29,MATCH(Calculations!$A16,Parameters!$A$22:$A$29,0),MATCH(Parameters!$M$22,Parameters!$A$22:$P$22,0)),"")</f>
        <v>18000</v>
      </c>
      <c r="S16" s="64">
        <f>IFERROR(D16*INDEX(Parameters!$A$22:$P$29,MATCH(Calculations!$A16,Parameters!$A$22:$A$29,0),MATCH(Parameters!$N$22,Parameters!$A$22:$P$22,0)),"")</f>
        <v>21000</v>
      </c>
    </row>
    <row r="17" spans="1:52">
      <c r="A17" s="23" t="str">
        <f>IFERROR(INDEX($A$14:$A$16,MATCH(Parameters!$B$23,Calculations!$B$14:$B$16,0)),"")</f>
        <v>Cows_beef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</v>
      </c>
      <c r="E17" s="23"/>
      <c r="F17" s="6">
        <f>IFERROR(INDEX(Parameters!$A$22:$P$29,MATCH(Calculations!$A17,Parameters!$A$22:$A$29,0),MATCH(Parameters!$P$22,Parameters!$A$22:$P$22,0)),"")</f>
        <v>36</v>
      </c>
      <c r="G17" s="120">
        <f>IF(A17="","",INDEX(G14:G16,MATCH(Parameters!B23,B14:B16,0)))</f>
        <v>3.6</v>
      </c>
      <c r="H17" s="123">
        <f>IFERROR(IF(B17="meat",INDEX(Parameters!$A$22:$P$29,MATCH(Calculations!A17,Parameters!$A$22:$A$29,0),MATCH(Parameters!$I$22,Parameters!$A$22:$P$22,0))*G17,""),"")</f>
        <v>359.9999999999999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230</v>
      </c>
      <c r="J17" s="126"/>
      <c r="K17" s="61"/>
      <c r="L17" s="172">
        <f>IF(A17="","",DATE(YEAR(Inputs!$B$76),MONTH(Inputs!$B$76)+Parameters!O23-INDEX(Inputs!$L$19:$L$21,MATCH(Parameters!$A$23,Inputs!$A$19:$A$21,0)),1))</f>
        <v>43405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2484000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42906</v>
      </c>
      <c r="C33" s="27">
        <f>IF(B33&lt;&gt;"",IF(COUNT($A$33:A33)&lt;=$G$39,0,$G$41)+IF(COUNT($A$33:A33)&lt;=$G$40,0,$G$42),0)</f>
        <v>19666.66666666667</v>
      </c>
      <c r="D33" s="170">
        <f>IFERROR(DATE(YEAR(B33),MONTH(B33),1)," ")</f>
        <v>42887</v>
      </c>
      <c r="F33" t="s">
        <v>153</v>
      </c>
      <c r="G33" s="128">
        <f>IF(Inputs!B79="","",DATE(YEAR(Inputs!B79),MONTH(Inputs!B79),DAY(Inputs!B79)))</f>
        <v>42865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42936</v>
      </c>
      <c r="C34" s="27">
        <f>IF(B34&lt;&gt;"",IF(COUNT($A$33:A34)&lt;=$G$39,0,$G$41)+IF(COUNT($A$33:A34)&lt;=$G$40,0,$G$42),0)</f>
        <v>19666.66666666667</v>
      </c>
      <c r="D34" s="170">
        <f>IFERROR(DATE(YEAR(B34),MONTH(B34),1)," ")</f>
        <v>42917</v>
      </c>
      <c r="F34" t="s">
        <v>154</v>
      </c>
      <c r="G34" s="128">
        <f>IF(Inputs!B80="","",DATE(YEAR(Inputs!B80),MONTH(Inputs!B80),DAY(Inputs!B80)))</f>
        <v>42906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42967</v>
      </c>
      <c r="C35" s="27">
        <f>IF(B35&lt;&gt;"",IF(COUNT($A$33:A35)&lt;=$G$39,0,$G$41)+IF(COUNT($A$33:A35)&lt;=$G$40,0,$G$42),0)</f>
        <v>19666.66666666667</v>
      </c>
      <c r="D35" s="170">
        <f>IFERROR(DATE(YEAR(B35),MONTH(B35),1)," ")</f>
        <v>42948</v>
      </c>
      <c r="F35" t="s">
        <v>156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42998</v>
      </c>
      <c r="C36" s="27">
        <f>IF(B36&lt;&gt;"",IF(COUNT($A$33:A36)&lt;=$G$39,0,$G$41)+IF(COUNT($A$33:A36)&lt;=$G$40,0,$G$42),0)</f>
        <v>19666.66666666667</v>
      </c>
      <c r="D36" s="170">
        <f>IFERROR(DATE(YEAR(B36),MONTH(B36),1)," ")</f>
        <v>42979</v>
      </c>
      <c r="F36" t="s">
        <v>157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43028</v>
      </c>
      <c r="C37" s="27">
        <f>IF(B37&lt;&gt;"",IF(COUNT($A$33:A37)&lt;=$G$39,0,$G$41)+IF(COUNT($A$33:A37)&lt;=$G$40,0,$G$42),0)</f>
        <v>19666.66666666667</v>
      </c>
      <c r="D37" s="170">
        <f>IFERROR(DATE(YEAR(B37),MONTH(B37),1)," ")</f>
        <v>43009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43059</v>
      </c>
      <c r="C38" s="27">
        <f>IF(B38&lt;&gt;"",IF(COUNT($A$33:A38)&lt;=$G$39,0,$G$41)+IF(COUNT($A$33:A38)&lt;=$G$40,0,$G$42),0)</f>
        <v>19666.66666666667</v>
      </c>
      <c r="D38" s="170">
        <f>IFERROR(DATE(YEAR(B38),MONTH(B38),1)," ")</f>
        <v>43040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43089</v>
      </c>
      <c r="C39" s="27">
        <f>IF(B39&lt;&gt;"",IF(COUNT($A$33:A39)&lt;=$G$39,0,$G$41)+IF(COUNT($A$33:A39)&lt;=$G$40,0,$G$42),0)</f>
        <v>19666.66666666667</v>
      </c>
      <c r="D39" s="170">
        <f>IFERROR(DATE(YEAR(B39),MONTH(B39),1)," ")</f>
        <v>43070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43120</v>
      </c>
      <c r="C40" s="27">
        <f>IF(B40&lt;&gt;"",IF(COUNT($A$33:A40)&lt;=$G$39,0,$G$41)+IF(COUNT($A$33:A40)&lt;=$G$40,0,$G$42),0)</f>
        <v>19666.66666666667</v>
      </c>
      <c r="D40" s="170">
        <f>IFERROR(DATE(YEAR(B40),MONTH(B40),1)," ")</f>
        <v>43101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43151</v>
      </c>
      <c r="C41" s="27">
        <f>IF(B41&lt;&gt;"",IF(COUNT($A$33:A41)&lt;=$G$39,0,$G$41)+IF(COUNT($A$33:A41)&lt;=$G$40,0,$G$42),0)</f>
        <v>19666.66666666667</v>
      </c>
      <c r="D41" s="170">
        <f>IFERROR(DATE(YEAR(B41),MONTH(B41),1)," ")</f>
        <v>43132</v>
      </c>
      <c r="F41" t="s">
        <v>220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43179</v>
      </c>
      <c r="C42" s="27">
        <f>IF(B42&lt;&gt;"",IF(COUNT($A$33:A42)&lt;=$G$39,0,$G$41)+IF(COUNT($A$33:A42)&lt;=$G$40,0,$G$42),0)</f>
        <v>19666.66666666667</v>
      </c>
      <c r="D42" s="170">
        <f>IFERROR(DATE(YEAR(B42),MONTH(B42),1)," ")</f>
        <v>43160</v>
      </c>
      <c r="F42" t="s">
        <v>221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43210</v>
      </c>
      <c r="C43" s="27">
        <f>IF(B43&lt;&gt;"",IF(COUNT($A$33:A43)&lt;=$G$39,0,$G$41)+IF(COUNT($A$33:A43)&lt;=$G$40,0,$G$42),0)</f>
        <v>19666.66666666667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43240</v>
      </c>
      <c r="C44" s="27">
        <f>IF(B44&lt;&gt;"",IF(COUNT($A$33:A44)&lt;=$G$39,0,$G$41)+IF(COUNT($A$33:A44)&lt;=$G$40,0,$G$42),0)</f>
        <v>19666.66666666667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106</v>
      </c>
      <c r="B26" s="16" t="s">
        <v>291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105</v>
      </c>
      <c r="B27" s="71" t="s">
        <v>291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102</v>
      </c>
      <c r="B28" s="71" t="s">
        <v>291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291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103</v>
      </c>
      <c r="C41" s="191" t="s">
        <v>107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106</v>
      </c>
      <c r="B45" s="72">
        <v>25000</v>
      </c>
      <c r="C45" s="72">
        <v>50000</v>
      </c>
    </row>
    <row r="46" spans="1:36">
      <c r="A46" t="s">
        <v>105</v>
      </c>
      <c r="B46" s="72">
        <v>6000</v>
      </c>
      <c r="C46" s="72">
        <v>12000</v>
      </c>
    </row>
    <row r="47" spans="1:36">
      <c r="A47" t="s">
        <v>102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306</v>
      </c>
      <c r="H52" s="12" t="s">
        <v>124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222</v>
      </c>
      <c r="E53" s="10" t="s">
        <v>181</v>
      </c>
      <c r="F53" s="10" t="s">
        <v>241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159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218</v>
      </c>
      <c r="J76" s="11" t="s">
        <v>340</v>
      </c>
      <c r="K76" s="11" t="s">
        <v>171</v>
      </c>
      <c r="AJ76" s="12"/>
    </row>
    <row r="77" spans="1:36">
      <c r="A77" t="s">
        <v>107</v>
      </c>
      <c r="B77" s="176">
        <v>0</v>
      </c>
      <c r="C77" s="12" t="s">
        <v>341</v>
      </c>
      <c r="E77" s="12" t="s">
        <v>103</v>
      </c>
      <c r="F77" s="12" t="s">
        <v>103</v>
      </c>
      <c r="G77" s="12" t="s">
        <v>342</v>
      </c>
      <c r="H77" s="12" t="s">
        <v>124</v>
      </c>
      <c r="I77" s="12" t="s">
        <v>343</v>
      </c>
      <c r="J77" s="136" t="s">
        <v>344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104</v>
      </c>
      <c r="H78" s="12" t="s">
        <v>307</v>
      </c>
      <c r="I78" s="12" t="s">
        <v>348</v>
      </c>
      <c r="J78" s="70" t="s">
        <v>349</v>
      </c>
      <c r="K78" s="12" t="s">
        <v>103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159</v>
      </c>
      <c r="J79" s="70" t="s">
        <v>353</v>
      </c>
      <c r="K79" s="12" t="s">
        <v>103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107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357</v>
      </c>
      <c r="K81" s="12" t="s">
        <v>107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358</v>
      </c>
      <c r="D83" s="12">
        <f>D82+1</f>
        <v>5</v>
      </c>
    </row>
    <row r="84" spans="1:36">
      <c r="B84" s="176">
        <v>60</v>
      </c>
      <c r="C84" s="12" t="s">
        <v>359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