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<sst xmlns="http://schemas.openxmlformats.org/spreadsheetml/2006/main" uniqueCount="371">
  <si>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</si>
  <si>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</si>
  <si>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</si>
  <si>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</si>
  <si>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</si>
  <si>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</si>
  <si>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</si>
  <si>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</si>
  <si>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</si>
  <si>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</si>
  <si>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</si>
  <si>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</si>
  <si>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</si>
  <si>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</si>
  <si>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</si>
  <si>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</si>
  <si>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</si>
  <si>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</si>
  <si>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</si>
  <si>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</si>
  <si>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</si>
  <si>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</si>
  <si>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</si>
  <si>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</si>
  <si>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</si>
  <si>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</si>
  <si>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</si>
  <si>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</si>
  <si>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</si>
  <si>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</si>
  <si>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</si>
  <si>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</si>
  <si>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</si>
  <si>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</si>
  <si>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</si>
  <si>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</si>
  <si>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</si>
  <si>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</si>
  <si>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</si>
  <si>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</si>
  <si>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</si>
  <si>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</si>
  <si>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</si>
  <si>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</si>
  <si>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</si>
  <si>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</si>
  <si>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</si>
  <si>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</si>
  <si>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</si>
  <si>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</si>
  <si>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</si>
  <si>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</si>
  <si>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</si>
  <si>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</si>
  <si>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</si>
  <si>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</si>
  <si>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</si>
  <si>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</si>
  <si>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</si>
  <si>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</si>
  <si>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</si>
  <si>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</si>
  <si>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</si>
  <si>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</si>
  <si>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</si>
  <si>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</si>
  <si>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</si>
  <si>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</si>
  <si>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</si>
  <si>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</si>
  <si>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</si>
  <si>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</si>
  <si>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</si>
  <si>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</si>
  <si>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</si>
  <si>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</si>
  <si>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</si>
  <si>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</si>
  <si>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</si>
  <si>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</si>
  <si>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</si>
  <si>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</si>
  <si>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</si>
  <si>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</si>
  <si>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</si>
  <si>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</si>
  <si>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</si>
  <si>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</si>
  <si>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</si>
  <si>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</si>
  <si>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</si>
  <si>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</si>
  <si>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</si>
  <si>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</si>
  <si>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December</t>
  </si>
  <si>
    <t>Potatoes</t>
  </si>
  <si>
    <t>August</t>
  </si>
  <si>
    <t>Onions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</si>
  <si>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</si>
  <si>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</si>
  <si>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</si>
  <si>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</si>
  <si>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</si>
  <si>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</si>
  <si>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</si>
  <si>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</si>
  <si>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</si>
  <si>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</si>
  <si>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</si>
  <si>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</si>
  <si>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</si>
  <si>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</si>
  <si>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</si>
  <si>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</si>
  <si>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</si>
  <si>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</si>
  <si>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</si>
  <si>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</si>
  <si>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</si>
  <si>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</si>
  <si>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</si>
  <si>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</si>
  <si>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</si>
  <si>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</si>
  <si>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</si>
  <si>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</si>
  <si>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</si>
  <si>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</si>
  <si>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</si>
  <si>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</si>
  <si>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</si>
  <si>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</si>
  <si>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</si>
  <si>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</si>
  <si>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</si>
  <si>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</si>
  <si>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</si>
  <si>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</si>
  <si>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</si>
  <si>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</si>
  <si>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</si>
  <si>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</si>
  <si>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</si>
  <si>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</si>
  <si>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</si>
  <si>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</si>
  <si>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</si>
  <si>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12/20/2012</t>
  </si>
  <si>
    <t>CO-OP BANK</t>
  </si>
  <si>
    <t>Timely repayment</t>
  </si>
  <si>
    <t>2/24/2017</t>
  </si>
  <si>
    <t>Mshwari</t>
  </si>
  <si>
    <t>Mpesa &amp; bank cash flows (from past statements)</t>
  </si>
  <si>
    <t>Cash inflows</t>
  </si>
  <si>
    <t>Cash outflows</t>
  </si>
  <si>
    <t>November</t>
  </si>
  <si>
    <t>January</t>
  </si>
  <si>
    <t>February</t>
  </si>
  <si>
    <t>March</t>
  </si>
  <si>
    <t>April</t>
  </si>
  <si>
    <t>Loan info</t>
  </si>
  <si>
    <t>Branch ID</t>
  </si>
  <si>
    <t>Submission date</t>
  </si>
  <si>
    <t>2017/5/11</t>
  </si>
  <si>
    <t>Loan terms</t>
  </si>
  <si>
    <t>Expected disbursement date</t>
  </si>
  <si>
    <t>2017/5/18</t>
  </si>
  <si>
    <t>Expected first repayment date</t>
  </si>
  <si>
    <t>2017/7/18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</si>
  <si>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</si>
  <si>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</si>
  <si>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</si>
  <si>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</si>
  <si>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</si>
  <si>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</si>
  <si>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</si>
  <si>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</si>
  <si>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</si>
  <si>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</si>
  <si>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</si>
  <si>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</si>
  <si>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</si>
  <si>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</si>
  <si>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</si>
  <si>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</si>
  <si>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</si>
  <si>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</si>
  <si>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</si>
  <si>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</si>
  <si>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</si>
  <si>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</si>
  <si>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</si>
  <si>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</si>
  <si>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</si>
  <si>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</si>
  <si>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</si>
  <si>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</si>
  <si>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</si>
  <si>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</si>
  <si>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</si>
  <si>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</si>
  <si>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</si>
  <si>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</si>
  <si>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</si>
  <si>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</si>
  <si>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</si>
  <si>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</si>
  <si>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</si>
  <si>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</si>
  <si>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</si>
  <si>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</si>
  <si>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</si>
  <si>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</si>
  <si>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</si>
  <si>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</si>
  <si>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</si>
  <si>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</si>
  <si>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</si>
  <si>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</si>
  <si>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</si>
  <si>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</si>
  <si>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</si>
  <si>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</si>
  <si>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</si>
  <si>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</si>
  <si>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</si>
  <si>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</si>
  <si>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</si>
  <si>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</si>
  <si>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</si>
  <si>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</si>
  <si>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</si>
  <si>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</si>
  <si>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</si>
  <si>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</si>
  <si>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</si>
  <si>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</si>
  <si>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</si>
  <si>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</si>
  <si>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</si>
  <si>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</si>
  <si>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</si>
  <si>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</si>
  <si>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</si>
  <si>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</si>
  <si>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</si>
  <si>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</si>
  <si>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</si>
  <si>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</si>
  <si>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</si>
  <si>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</si>
  <si>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</si>
  <si>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</si>
  <si>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</si>
  <si>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</si>
  <si>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</si>
  <si>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</si>
  <si>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</si>
  <si>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</si>
  <si>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</si>
  <si>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</si>
  <si>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</si>
  <si>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</si>
  <si>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</si>
  <si>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</si>
  <si>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</si>
  <si>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</si>
  <si>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</si>
  <si>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</si>
  <si>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</si>
  <si>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</si>
  <si>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</si>
  <si>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</si>
  <si>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</si>
  <si>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</si>
  <si>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</si>
  <si>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</si>
  <si>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</si>
  <si>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</si>
  <si>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</si>
  <si>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</si>
  <si>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</si>
  <si>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</si>
  <si>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</si>
  <si>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</si>
  <si>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</si>
  <si>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</si>
  <si>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</si>
  <si>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</si>
  <si>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</si>
  <si>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</si>
  <si>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</si>
  <si>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</si>
  <si>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</si>
  <si>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</si>
  <si>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</si>
  <si>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</si>
  <si>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</si>
  <si>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</si>
  <si>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</si>
  <si>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</si>
  <si>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</si>
  <si>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</si>
  <si>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</si>
  <si>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</si>
  <si>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</si>
  <si>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</si>
  <si>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</si>
  <si>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</si>
  <si>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</si>
  <si>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</si>
  <si>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</si>
  <si>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</si>
  <si>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</si>
  <si>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</si>
  <si>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</si>
  <si>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</si>
  <si>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</si>
  <si>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</si>
  <si>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</si>
  <si>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</si>
  <si>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</si>
  <si>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</si>
  <si>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</si>
  <si>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</si>
  <si>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</si>
  <si>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</si>
  <si>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</si>
  <si>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</si>
  <si>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</si>
  <si>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</si>
  <si>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</si>
  <si>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</si>
  <si>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</si>
  <si>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</si>
  <si>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</si>
  <si>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</si>
  <si>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</si>
  <si>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</si>
  <si>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</si>
  <si>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</si>
  <si>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</si>
  <si>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</si>
  <si>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</si>
  <si>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</si>
  <si>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</si>
  <si>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</si>
  <si>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</si>
  <si>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</si>
  <si>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</si>
  <si>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</si>
  <si>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</si>
  <si>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</si>
  <si>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</si>
  <si>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</si>
  <si>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</si>
  <si>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</si>
  <si>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</si>
  <si>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</si>
  <si>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</si>
  <si>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</si>
  <si>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</si>
  <si>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</si>
  <si>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</si>
  <si>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</si>
  <si>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</si>
  <si>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</si>
  <si>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May</t>
  </si>
  <si>
    <t>June</t>
  </si>
  <si>
    <t>July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</si>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</sst>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Potatoes, Onions,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0.4762789189294612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0.3513089947089947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78175</v>
      </c>
    </row>
    <row r="17" spans="1:7">
      <c r="B17" s="1" t="s">
        <v>11</v>
      </c>
      <c r="C17" s="36">
        <f>SUM(Output!B6:M6)</f>
        <v>505674.2947488087</v>
      </c>
    </row>
    <row r="18" spans="1:7">
      <c r="B18" s="1" t="s">
        <v>12</v>
      </c>
      <c r="C18" s="36">
        <f>MIN(Output!B6:M6)</f>
        <v>-48140.34227959918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122380.8926801395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209656.3333333333</v>
      </c>
    </row>
    <row r="25" spans="1:7">
      <c r="B25" s="1" t="s">
        <v>18</v>
      </c>
      <c r="C25" s="36">
        <f>MAX(Inputs!A56:A60)</f>
        <v>615776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-2850.980660648092</v>
      </c>
      <c r="C6" s="51">
        <f>C30-C88</f>
        <v>71302.81842406673</v>
      </c>
      <c r="D6" s="51">
        <f>D30-D88</f>
        <v>122380.8926801395</v>
      </c>
      <c r="E6" s="51">
        <f>E30-E88</f>
        <v>73020.29771159831</v>
      </c>
      <c r="F6" s="51">
        <f>F30-F88</f>
        <v>95520.29771159831</v>
      </c>
      <c r="G6" s="51">
        <f>G30-G88</f>
        <v>2174.733625066197</v>
      </c>
      <c r="H6" s="51">
        <f>H30-H88</f>
        <v>6474.733625066197</v>
      </c>
      <c r="I6" s="51">
        <f>I30-I88</f>
        <v>-48140.34227959918</v>
      </c>
      <c r="J6" s="51">
        <f>J30-J88</f>
        <v>44853.65772040081</v>
      </c>
      <c r="K6" s="51">
        <f>K30-K88</f>
        <v>63694.58342588402</v>
      </c>
      <c r="L6" s="51">
        <f>L30-L88</f>
        <v>84394.58342588402</v>
      </c>
      <c r="M6" s="51">
        <f>M30-M88</f>
        <v>-7150.980660648092</v>
      </c>
      <c r="N6" s="51">
        <f>N30-N88</f>
        <v>-2850.980660648092</v>
      </c>
      <c r="O6" s="51">
        <f>O30-O88</f>
        <v>71302.81842406673</v>
      </c>
      <c r="P6" s="51">
        <f>P30-P88</f>
        <v>122380.8926801395</v>
      </c>
      <c r="Q6" s="51">
        <f>Q30-Q88</f>
        <v>73020.29771159831</v>
      </c>
      <c r="R6" s="51">
        <f>R30-R88</f>
        <v>95520.29771159831</v>
      </c>
      <c r="S6" s="51">
        <f>S30-S88</f>
        <v>2174.733625066197</v>
      </c>
      <c r="T6" s="51">
        <f>T30-T88</f>
        <v>6474.733625066197</v>
      </c>
      <c r="U6" s="51">
        <f>U30-U88</f>
        <v>-48140.34227959918</v>
      </c>
      <c r="V6" s="51">
        <f>V30-V88</f>
        <v>44853.65772040081</v>
      </c>
      <c r="W6" s="51">
        <f>W30-W88</f>
        <v>63694.58342588402</v>
      </c>
      <c r="X6" s="51">
        <f>X30-X88</f>
        <v>84394.58342588402</v>
      </c>
      <c r="Y6" s="51">
        <f>Y30-Y88</f>
        <v>-7150.980660648092</v>
      </c>
      <c r="Z6" s="51">
        <f>SUMIF($B$13:$Y$13,"Yes",B6:Y6)</f>
        <v>361548.0594918209</v>
      </c>
      <c r="AA6" s="51">
        <f>AA30-AA88</f>
        <v>505674.2947488087</v>
      </c>
      <c r="AB6" s="51">
        <f>AB30-AB88</f>
        <v>1011348.589497617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66018</v>
      </c>
      <c r="I7" s="80">
        <f>IF(ISERROR(VLOOKUP(MONTH(I5),Inputs!$D$66:$D$71,1,0)),"",INDEX(Inputs!$B$66:$B$71,MATCH(MONTH(Output!I5),Inputs!$D$66:$D$71,0))-INDEX(Inputs!$C$66:$C$71,MATCH(MONTH(Output!I5),Inputs!$D$66:$D$71,0)))</f>
        <v>54640</v>
      </c>
      <c r="J7" s="80">
        <f>IF(ISERROR(VLOOKUP(MONTH(J5),Inputs!$D$66:$D$71,1,0)),"",INDEX(Inputs!$B$66:$B$71,MATCH(MONTH(Output!J5),Inputs!$D$66:$D$71,0))-INDEX(Inputs!$C$66:$C$71,MATCH(MONTH(Output!J5),Inputs!$D$66:$D$71,0)))</f>
        <v>52740</v>
      </c>
      <c r="K7" s="80">
        <f>IF(ISERROR(VLOOKUP(MONTH(K5),Inputs!$D$66:$D$71,1,0)),"",INDEX(Inputs!$B$66:$B$71,MATCH(MONTH(Output!K5),Inputs!$D$66:$D$71,0))-INDEX(Inputs!$C$66:$C$71,MATCH(MONTH(Output!K5),Inputs!$D$66:$D$71,0)))</f>
        <v>53824</v>
      </c>
      <c r="L7" s="80">
        <f>IF(ISERROR(VLOOKUP(MONTH(L5),Inputs!$D$66:$D$71,1,0)),"",INDEX(Inputs!$B$66:$B$71,MATCH(MONTH(Output!L5),Inputs!$D$66:$D$71,0))-INDEX(Inputs!$C$66:$C$71,MATCH(MONTH(Output!L5),Inputs!$D$66:$D$71,0)))</f>
        <v>65982</v>
      </c>
      <c r="M7" s="80">
        <f>IF(ISERROR(VLOOKUP(MONTH(M5),Inputs!$D$66:$D$71,1,0)),"",INDEX(Inputs!$B$66:$B$71,MATCH(MONTH(Output!M5),Inputs!$D$66:$D$71,0))-INDEX(Inputs!$C$66:$C$71,MATCH(MONTH(Output!M5),Inputs!$D$66:$D$71,0)))</f>
        <v>51463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66018</v>
      </c>
      <c r="U7" s="80">
        <f>IF(ISERROR(VLOOKUP(MONTH(U5),Inputs!$D$66:$D$71,1,0)),"",INDEX(Inputs!$B$66:$B$71,MATCH(MONTH(Output!U5),Inputs!$D$66:$D$71,0))-INDEX(Inputs!$C$66:$C$71,MATCH(MONTH(Output!U5),Inputs!$D$66:$D$71,0)))</f>
        <v>54640</v>
      </c>
      <c r="V7" s="80">
        <f>IF(ISERROR(VLOOKUP(MONTH(V5),Inputs!$D$66:$D$71,1,0)),"",INDEX(Inputs!$B$66:$B$71,MATCH(MONTH(Output!V5),Inputs!$D$66:$D$71,0))-INDEX(Inputs!$C$66:$C$71,MATCH(MONTH(Output!V5),Inputs!$D$66:$D$71,0)))</f>
        <v>52740</v>
      </c>
      <c r="W7" s="80">
        <f>IF(ISERROR(VLOOKUP(MONTH(W5),Inputs!$D$66:$D$71,1,0)),"",INDEX(Inputs!$B$66:$B$71,MATCH(MONTH(Output!W5),Inputs!$D$66:$D$71,0))-INDEX(Inputs!$C$66:$C$71,MATCH(MONTH(Output!W5),Inputs!$D$66:$D$71,0)))</f>
        <v>53824</v>
      </c>
      <c r="X7" s="80">
        <f>IF(ISERROR(VLOOKUP(MONTH(X5),Inputs!$D$66:$D$71,1,0)),"",INDEX(Inputs!$B$66:$B$71,MATCH(MONTH(Output!X5),Inputs!$D$66:$D$71,0))-INDEX(Inputs!$C$66:$C$71,MATCH(MONTH(Output!X5),Inputs!$D$66:$D$71,0)))</f>
        <v>65982</v>
      </c>
      <c r="Y7" s="80">
        <f>IF(ISERROR(VLOOKUP(MONTH(Y5),Inputs!$D$66:$D$71,1,0)),"",INDEX(Inputs!$B$66:$B$71,MATCH(MONTH(Output!Y5),Inputs!$D$66:$D$71,0))-INDEX(Inputs!$C$66:$C$71,MATCH(MONTH(Output!Y5),Inputs!$D$66:$D$71,0)))</f>
        <v>51463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295000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295000</v>
      </c>
      <c r="AA9" s="75">
        <f>SUM(B9:M9)</f>
        <v>295000</v>
      </c>
      <c r="AB9" s="75">
        <f>SUM(B9:Y9)</f>
        <v>295000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78175</v>
      </c>
      <c r="E10" s="37">
        <f>SUMPRODUCT((Calculations!$D$33:$D$84=Output!E5)+0,Calculations!$C$33:$C$84)</f>
        <v>78175</v>
      </c>
      <c r="F10" s="37">
        <f>SUMPRODUCT((Calculations!$D$33:$D$84=Output!F5)+0,Calculations!$C$33:$C$84)</f>
        <v>78175</v>
      </c>
      <c r="G10" s="37">
        <f>SUMPRODUCT((Calculations!$D$33:$D$84=Output!G5)+0,Calculations!$C$33:$C$84)</f>
        <v>78175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312700</v>
      </c>
      <c r="AA10" s="37">
        <f>SUM(B10:M10)</f>
        <v>312700</v>
      </c>
      <c r="AB10" s="37">
        <f>SUM(B10:Y10)</f>
        <v>312700</v>
      </c>
    </row>
    <row r="11" spans="1:30" customHeight="1" ht="15.75">
      <c r="A11" s="43" t="s">
        <v>31</v>
      </c>
      <c r="B11" s="80">
        <f>B6+B9-B10</f>
        <v>292149.0193393519</v>
      </c>
      <c r="C11" s="80">
        <f>C6+C9-C10</f>
        <v>71302.81842406673</v>
      </c>
      <c r="D11" s="80">
        <f>D6+D9-D10</f>
        <v>44205.89268013948</v>
      </c>
      <c r="E11" s="80">
        <f>E6+E9-E10</f>
        <v>-5154.702288401691</v>
      </c>
      <c r="F11" s="80">
        <f>F6+F9-F10</f>
        <v>17345.29771159831</v>
      </c>
      <c r="G11" s="80">
        <f>G6+G9-G10</f>
        <v>-76000.2663749338</v>
      </c>
      <c r="H11" s="80">
        <f>H6+H9-H10</f>
        <v>6474.733625066197</v>
      </c>
      <c r="I11" s="80">
        <f>I6+I9-I10</f>
        <v>-48140.34227959918</v>
      </c>
      <c r="J11" s="80">
        <f>J6+J9-J10</f>
        <v>44853.65772040081</v>
      </c>
      <c r="K11" s="80">
        <f>K6+K9-K10</f>
        <v>63694.58342588402</v>
      </c>
      <c r="L11" s="80">
        <f>L6+L9-L10</f>
        <v>84394.58342588402</v>
      </c>
      <c r="M11" s="80">
        <f>M6+M9-M10</f>
        <v>-7150.980660648092</v>
      </c>
      <c r="N11" s="80">
        <f>N6+N9-N10</f>
        <v>-2850.980660648092</v>
      </c>
      <c r="O11" s="80">
        <f>O6+O9-O10</f>
        <v>71302.81842406673</v>
      </c>
      <c r="P11" s="80">
        <f>P6+P9-P10</f>
        <v>122380.8926801395</v>
      </c>
      <c r="Q11" s="80">
        <f>Q6+Q9-Q10</f>
        <v>73020.29771159831</v>
      </c>
      <c r="R11" s="80">
        <f>R6+R9-R10</f>
        <v>95520.29771159831</v>
      </c>
      <c r="S11" s="80">
        <f>S6+S9-S10</f>
        <v>2174.733625066197</v>
      </c>
      <c r="T11" s="80">
        <f>T6+T9-T10</f>
        <v>6474.733625066197</v>
      </c>
      <c r="U11" s="80">
        <f>U6+U9-U10</f>
        <v>-48140.34227959918</v>
      </c>
      <c r="V11" s="80">
        <f>V6+V9-V10</f>
        <v>44853.65772040081</v>
      </c>
      <c r="W11" s="80">
        <f>W6+W9-W10</f>
        <v>63694.58342588402</v>
      </c>
      <c r="X11" s="80">
        <f>X6+X9-X10</f>
        <v>84394.58342588402</v>
      </c>
      <c r="Y11" s="80">
        <f>Y6+Y9-Y10</f>
        <v>-7150.980660648092</v>
      </c>
      <c r="Z11" s="85">
        <f>SUMIF($B$13:$Y$13,"Yes",B11:Y11)</f>
        <v>343848.0594918211</v>
      </c>
      <c r="AA11" s="80">
        <f>SUM(B11:M11)</f>
        <v>487974.2947488089</v>
      </c>
      <c r="AB11" s="46">
        <f>SUM(B11:Y11)</f>
        <v>993648.5894976178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0.160909290587786</v>
      </c>
      <c r="E12" s="82">
        <f>IF(E13="Yes",IF(SUM($B$10:E10)/(SUM($B$6:E6)+SUM($B$9:E9))&lt;0,999.99,SUM($B$10:E10)/(SUM($B$6:E6)+SUM($B$9:E9))),"")</f>
        <v>0.2797694422738137</v>
      </c>
      <c r="F12" s="82">
        <f>IF(F13="Yes",IF(SUM($B$10:F10)/(SUM($B$6:F6)+SUM($B$9:F9))&lt;0,999.99,SUM($B$10:F10)/(SUM($B$6:F6)+SUM($B$9:F9))),"")</f>
        <v>0.3583963323831366</v>
      </c>
      <c r="G12" s="82">
        <f>IF(G13="Yes",IF(SUM($B$10:G10)/(SUM($B$6:G6)+SUM($B$9:G9))&lt;0,999.99,SUM($B$10:G10)/(SUM($B$6:G6)+SUM($B$9:G9))),"")</f>
        <v>0.4762789189294612</v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56834.60056168698</v>
      </c>
      <c r="D18" s="36">
        <f>P18</f>
        <v>68201.52067402437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56834.60056168698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68201.52067402437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125036.1212357114</v>
      </c>
      <c r="AA18" s="36">
        <f>SUM(B18:M18)</f>
        <v>125036.1212357114</v>
      </c>
      <c r="AB18" s="36">
        <f>SUM(B18:Y18)</f>
        <v>250072.2424714227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45528.63838104891</v>
      </c>
      <c r="D19" s="36">
        <f>P19</f>
        <v>45528.63838104891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45528.63838104891</v>
      </c>
      <c r="J19" s="36">
        <f>V19</f>
        <v>45528.63838104891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45528.63838104891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45528.63838104891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45528.63838104891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45528.63838104891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91057.27676209781</v>
      </c>
      <c r="AA19" s="36">
        <f>SUM(B19:M19)</f>
        <v>182114.5535241956</v>
      </c>
      <c r="AB19" s="36">
        <f>SUM(B19:Y19)</f>
        <v>364229.1070483913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92545.56408653209</v>
      </c>
      <c r="F20" s="36">
        <f>R20</f>
        <v>92545.56408653209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92545.56408653209</v>
      </c>
      <c r="L20" s="36">
        <f>X20</f>
        <v>92545.56408653209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92545.56408653209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92545.56408653209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92545.56408653209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92545.56408653209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185091.1281730642</v>
      </c>
      <c r="AA20" s="36">
        <f>SUM(B20:M20)</f>
        <v>370182.2563461284</v>
      </c>
      <c r="AB20" s="36">
        <f>SUM(B20:Y20)</f>
        <v>740364.5126922567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260062.5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43343.75</v>
      </c>
      <c r="C30" s="19">
        <f>SUM(C18:C29)</f>
        <v>145706.9889427359</v>
      </c>
      <c r="D30" s="19">
        <f>SUM(D18:D29)</f>
        <v>157073.9090550733</v>
      </c>
      <c r="E30" s="19">
        <f>SUM(E18:E29)</f>
        <v>135889.3140865321</v>
      </c>
      <c r="F30" s="19">
        <f>SUM(F18:F29)</f>
        <v>135889.3140865321</v>
      </c>
      <c r="G30" s="19">
        <f>SUM(G18:G29)</f>
        <v>43343.75</v>
      </c>
      <c r="H30" s="19">
        <f>SUM(H18:H29)</f>
        <v>43343.75</v>
      </c>
      <c r="I30" s="19">
        <f>SUM(I18:I29)</f>
        <v>88872.38838104891</v>
      </c>
      <c r="J30" s="19">
        <f>SUM(J18:J29)</f>
        <v>88872.38838104891</v>
      </c>
      <c r="K30" s="19">
        <f>SUM(K18:K29)</f>
        <v>135889.3140865321</v>
      </c>
      <c r="L30" s="19">
        <f>SUM(L18:L29)</f>
        <v>135889.3140865321</v>
      </c>
      <c r="M30" s="19">
        <f>SUM(M18:M29)</f>
        <v>43343.75</v>
      </c>
      <c r="N30" s="19">
        <f>SUM(N18:N29)</f>
        <v>43343.75</v>
      </c>
      <c r="O30" s="19">
        <f>SUM(O18:O29)</f>
        <v>145706.9889427359</v>
      </c>
      <c r="P30" s="19">
        <f>SUM(P18:P29)</f>
        <v>157073.9090550733</v>
      </c>
      <c r="Q30" s="19">
        <f>SUM(Q18:Q29)</f>
        <v>135889.3140865321</v>
      </c>
      <c r="R30" s="19">
        <f>SUM(R18:R29)</f>
        <v>135889.3140865321</v>
      </c>
      <c r="S30" s="19">
        <f>SUM(S18:S29)</f>
        <v>43343.75</v>
      </c>
      <c r="T30" s="19">
        <f>SUM(T18:T29)</f>
        <v>43343.75</v>
      </c>
      <c r="U30" s="19">
        <f>SUM(U18:U29)</f>
        <v>88872.38838104891</v>
      </c>
      <c r="V30" s="19">
        <f>SUM(V18:V29)</f>
        <v>88872.38838104891</v>
      </c>
      <c r="W30" s="19">
        <f>SUM(W18:W29)</f>
        <v>135889.3140865321</v>
      </c>
      <c r="X30" s="19">
        <f>SUM(X18:X29)</f>
        <v>135889.3140865321</v>
      </c>
      <c r="Y30" s="19">
        <f>SUM(Y18:Y29)</f>
        <v>43343.75</v>
      </c>
      <c r="Z30" s="19">
        <f>SUMIF($B$13:$Y$13,"Yes",B30:Y30)</f>
        <v>661247.0261708733</v>
      </c>
      <c r="AA30" s="19">
        <f>SUM(B30:M30)</f>
        <v>1197457.931106035</v>
      </c>
      <c r="AB30" s="19">
        <f>SUM(B30:Y30)</f>
        <v>2394915.862212071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2000</v>
      </c>
      <c r="F36" s="36">
        <f>R36</f>
        <v>2000</v>
      </c>
      <c r="G36" s="36">
        <f>S36</f>
        <v>0</v>
      </c>
      <c r="H36" s="36">
        <f>T36</f>
        <v>0</v>
      </c>
      <c r="I36" s="36">
        <f>U36</f>
        <v>12000</v>
      </c>
      <c r="J36" s="36">
        <f>V36</f>
        <v>0</v>
      </c>
      <c r="K36" s="36">
        <f>W36</f>
        <v>2000</v>
      </c>
      <c r="L36" s="36">
        <f>X36</f>
        <v>2000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2000</v>
      </c>
      <c r="R36" s="36">
        <f>SUM(R37:R41)</f>
        <v>2000</v>
      </c>
      <c r="S36" s="36">
        <f>SUM(S37:S41)</f>
        <v>0</v>
      </c>
      <c r="T36" s="36">
        <f>SUM(T37:T41)</f>
        <v>0</v>
      </c>
      <c r="U36" s="36">
        <f>SUM(U37:U41)</f>
        <v>12000</v>
      </c>
      <c r="V36" s="36">
        <f>SUM(V37:V41)</f>
        <v>0</v>
      </c>
      <c r="W36" s="36">
        <f>SUM(W37:W41)</f>
        <v>2000</v>
      </c>
      <c r="X36" s="36">
        <f>SUM(X37:X41)</f>
        <v>2000</v>
      </c>
      <c r="Y36" s="36">
        <f>SUM(Y37:Y41)</f>
        <v>0</v>
      </c>
      <c r="Z36" s="36">
        <f>SUMIF($B$13:$Y$13,"Yes",B36:Y36)</f>
        <v>4000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12000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2000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2000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2000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2000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2000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2000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2000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2000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24000</v>
      </c>
      <c r="F42" s="36">
        <f>R42</f>
        <v>1500</v>
      </c>
      <c r="G42" s="36">
        <f>S42</f>
        <v>0</v>
      </c>
      <c r="H42" s="36">
        <f>T42</f>
        <v>0</v>
      </c>
      <c r="I42" s="36">
        <f>U42</f>
        <v>1818</v>
      </c>
      <c r="J42" s="36">
        <f>V42</f>
        <v>0</v>
      </c>
      <c r="K42" s="36">
        <f>W42</f>
        <v>24000</v>
      </c>
      <c r="L42" s="36">
        <f>X42</f>
        <v>1500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24000</v>
      </c>
      <c r="R42" s="36">
        <f>SUM(R43:R47)</f>
        <v>1500</v>
      </c>
      <c r="S42" s="36">
        <f>SUM(S43:S47)</f>
        <v>0</v>
      </c>
      <c r="T42" s="36">
        <f>SUM(T43:T47)</f>
        <v>0</v>
      </c>
      <c r="U42" s="36">
        <f>SUM(U43:U47)</f>
        <v>1818</v>
      </c>
      <c r="V42" s="36">
        <f>SUM(V43:V47)</f>
        <v>0</v>
      </c>
      <c r="W42" s="36">
        <f>SUM(W43:W47)</f>
        <v>24000</v>
      </c>
      <c r="X42" s="36">
        <f>SUM(X43:X47)</f>
        <v>1500</v>
      </c>
      <c r="Y42" s="36">
        <f>SUM(Y43:Y47)</f>
        <v>0</v>
      </c>
      <c r="Z42" s="36">
        <f>SUMIF($B$13:$Y$13,"Yes",B42:Y42)</f>
        <v>25500</v>
      </c>
      <c r="AA42" s="36">
        <f>SUM(B42:M42)</f>
        <v>52818</v>
      </c>
      <c r="AB42" s="36">
        <f>SUM(B42:Y42)</f>
        <v>105636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1818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1818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24000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24000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24000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24000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24000</v>
      </c>
      <c r="AA44" s="36">
        <f>SUM(B44:M44)</f>
        <v>48000</v>
      </c>
      <c r="AB44" s="36">
        <f>SUM(B44:Y44)</f>
        <v>96000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1500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1500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1500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1500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1500</v>
      </c>
      <c r="AA45" s="36">
        <f>SUM(B45:M45)</f>
        <v>3000</v>
      </c>
      <c r="AB45" s="36">
        <f>SUM(B45:Y45)</f>
        <v>6000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2000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4300</v>
      </c>
      <c r="H48" s="36">
        <f>T48</f>
        <v>0</v>
      </c>
      <c r="I48" s="36">
        <f>U48</f>
        <v>2000</v>
      </c>
      <c r="J48" s="36">
        <f>V48</f>
        <v>0</v>
      </c>
      <c r="K48" s="36">
        <f>W48</f>
        <v>0</v>
      </c>
      <c r="L48" s="36">
        <f>X48</f>
        <v>1800</v>
      </c>
      <c r="M48" s="36">
        <f>Y48</f>
        <v>4300</v>
      </c>
      <c r="N48" s="46">
        <f>SUM(N49:N53)</f>
        <v>0</v>
      </c>
      <c r="O48" s="46">
        <f>SUM(O49:O53)</f>
        <v>2000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4300</v>
      </c>
      <c r="T48" s="46">
        <f>SUM(T49:T53)</f>
        <v>0</v>
      </c>
      <c r="U48" s="46">
        <f>SUM(U49:U53)</f>
        <v>2000</v>
      </c>
      <c r="V48" s="46">
        <f>SUM(V49:V53)</f>
        <v>0</v>
      </c>
      <c r="W48" s="46">
        <f>SUM(W49:W53)</f>
        <v>0</v>
      </c>
      <c r="X48" s="46">
        <f>SUM(X49:X53)</f>
        <v>1800</v>
      </c>
      <c r="Y48" s="46">
        <f>SUM(Y49:Y53)</f>
        <v>4300</v>
      </c>
      <c r="Z48" s="46">
        <f>SUMIF($B$13:$Y$13,"Yes",B48:Y48)</f>
        <v>6300</v>
      </c>
      <c r="AA48" s="46">
        <f>SUM(B48:M48)</f>
        <v>14400</v>
      </c>
      <c r="AB48" s="46">
        <f>SUM(B48:Y48)</f>
        <v>28800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1800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1800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4300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4300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4300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4300</v>
      </c>
      <c r="Z50" s="46">
        <f>SUMIF($B$13:$Y$13,"Yes",B50:Y50)</f>
        <v>4300</v>
      </c>
      <c r="AA50" s="46">
        <f>SUM(B50:M50)</f>
        <v>8600</v>
      </c>
      <c r="AB50" s="46">
        <f>SUM(B50:Y50)</f>
        <v>17200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2000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2000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2000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2000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2000</v>
      </c>
      <c r="AA51" s="46">
        <f>SUM(B51:M51)</f>
        <v>4000</v>
      </c>
      <c r="AB51" s="46">
        <f>SUM(B51:Y51)</f>
        <v>8000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26209.43985802106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26209.43985802106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26209.43985802106</v>
      </c>
      <c r="AA54" s="46">
        <f>SUM(B54:M54)</f>
        <v>26209.43985802106</v>
      </c>
      <c r="AB54" s="46">
        <f>SUM(B54:Y54)</f>
        <v>52418.87971604212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26209.43985802106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26209.43985802106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26209.43985802106</v>
      </c>
      <c r="AA55" s="46">
        <f>SUM(B55:M55)</f>
        <v>26209.43985802106</v>
      </c>
      <c r="AB55" s="46">
        <f>SUM(B55:Y55)</f>
        <v>52418.87971604212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6452.380952380952</v>
      </c>
      <c r="C60" s="36">
        <f>O60</f>
        <v>6452.380952380952</v>
      </c>
      <c r="D60" s="36">
        <f>P60</f>
        <v>1166.666666666667</v>
      </c>
      <c r="E60" s="36">
        <f>Q60</f>
        <v>2166.666666666667</v>
      </c>
      <c r="F60" s="36">
        <f>R60</f>
        <v>2166.666666666667</v>
      </c>
      <c r="G60" s="36">
        <f>S60</f>
        <v>2166.666666666667</v>
      </c>
      <c r="H60" s="36">
        <f>T60</f>
        <v>2166.666666666667</v>
      </c>
      <c r="I60" s="36">
        <f>U60</f>
        <v>6452.380952380952</v>
      </c>
      <c r="J60" s="36">
        <f>V60</f>
        <v>5452.380952380952</v>
      </c>
      <c r="K60" s="36">
        <f>W60</f>
        <v>6452.380952380952</v>
      </c>
      <c r="L60" s="36">
        <f>X60</f>
        <v>6452.380952380952</v>
      </c>
      <c r="M60" s="36">
        <f>Y60</f>
        <v>6452.380952380952</v>
      </c>
      <c r="N60" s="46">
        <f>SUM(N61:N65)</f>
        <v>6452.380952380952</v>
      </c>
      <c r="O60" s="46">
        <f>SUM(O61:O65)</f>
        <v>6452.380952380952</v>
      </c>
      <c r="P60" s="46">
        <f>SUM(P61:P65)</f>
        <v>1166.666666666667</v>
      </c>
      <c r="Q60" s="46">
        <f>SUM(Q61:Q65)</f>
        <v>2166.666666666667</v>
      </c>
      <c r="R60" s="46">
        <f>SUM(R61:R65)</f>
        <v>2166.666666666667</v>
      </c>
      <c r="S60" s="46">
        <f>SUM(S61:S65)</f>
        <v>2166.666666666667</v>
      </c>
      <c r="T60" s="46">
        <f>SUM(T61:T65)</f>
        <v>2166.666666666667</v>
      </c>
      <c r="U60" s="46">
        <f>SUM(U61:U65)</f>
        <v>6452.380952380952</v>
      </c>
      <c r="V60" s="46">
        <f>SUM(V61:V65)</f>
        <v>5452.380952380952</v>
      </c>
      <c r="W60" s="46">
        <f>SUM(W61:W65)</f>
        <v>6452.380952380952</v>
      </c>
      <c r="X60" s="46">
        <f>SUM(X61:X65)</f>
        <v>6452.380952380952</v>
      </c>
      <c r="Y60" s="46">
        <f>SUM(Y61:Y65)</f>
        <v>6452.380952380952</v>
      </c>
      <c r="Z60" s="46">
        <f>SUMIF($B$13:$Y$13,"Yes",B60:Y60)</f>
        <v>20571.42857142857</v>
      </c>
      <c r="AA60" s="46">
        <f>SUM(B60:M60)</f>
        <v>54000.00000000001</v>
      </c>
      <c r="AB60" s="46">
        <f>SUM(B60:Y60)</f>
        <v>108000</v>
      </c>
    </row>
    <row r="61" spans="1:30" hidden="true" outlineLevel="1">
      <c r="A61" s="181" t="str">
        <f>Calculations!$A$4</f>
        <v>Maize</v>
      </c>
      <c r="B61" s="36">
        <f>N61</f>
        <v>4285.714285714285</v>
      </c>
      <c r="C61" s="36">
        <f>O61</f>
        <v>4285.714285714285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4285.714285714285</v>
      </c>
      <c r="J61" s="36">
        <f>V61</f>
        <v>4285.714285714285</v>
      </c>
      <c r="K61" s="36">
        <f>W61</f>
        <v>4285.714285714285</v>
      </c>
      <c r="L61" s="36">
        <f>X61</f>
        <v>4285.714285714285</v>
      </c>
      <c r="M61" s="36">
        <f>Y61</f>
        <v>4285.714285714285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4285.714285714285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4285.714285714285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4285.714285714285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4285.714285714285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4285.714285714285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4285.714285714285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4285.714285714285</v>
      </c>
      <c r="Z61" s="46">
        <f>SUMIF($B$13:$Y$13,"Yes",B61:Y61)</f>
        <v>8571.428571428571</v>
      </c>
      <c r="AA61" s="46">
        <f>SUM(B61:M61)</f>
        <v>30000</v>
      </c>
      <c r="AB61" s="46">
        <f>SUM(B61:Y61)</f>
        <v>59999.99999999998</v>
      </c>
    </row>
    <row r="62" spans="1:30" hidden="true" outlineLevel="1">
      <c r="A62" s="181" t="str">
        <f>Calculations!$A$5</f>
        <v>Potatoes</v>
      </c>
      <c r="B62" s="36">
        <f>N62</f>
        <v>1000</v>
      </c>
      <c r="C62" s="36">
        <f>O62</f>
        <v>1000</v>
      </c>
      <c r="D62" s="36">
        <f>P62</f>
        <v>0</v>
      </c>
      <c r="E62" s="36">
        <f>Q62</f>
        <v>1000</v>
      </c>
      <c r="F62" s="36">
        <f>R62</f>
        <v>1000</v>
      </c>
      <c r="G62" s="36">
        <f>S62</f>
        <v>1000</v>
      </c>
      <c r="H62" s="36">
        <f>T62</f>
        <v>1000</v>
      </c>
      <c r="I62" s="36">
        <f>U62</f>
        <v>1000</v>
      </c>
      <c r="J62" s="36">
        <f>V62</f>
        <v>0</v>
      </c>
      <c r="K62" s="36">
        <f>W62</f>
        <v>1000</v>
      </c>
      <c r="L62" s="36">
        <f>X62</f>
        <v>1000</v>
      </c>
      <c r="M62" s="36">
        <f>Y62</f>
        <v>1000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1000</v>
      </c>
      <c r="Z62" s="46">
        <f>SUMIF($B$13:$Y$13,"Yes",B62:Y62)</f>
        <v>5000</v>
      </c>
      <c r="AA62" s="46">
        <f>SUM(B62:M62)</f>
        <v>10000</v>
      </c>
      <c r="AB62" s="46">
        <f>SUM(B62:Y62)</f>
        <v>20000</v>
      </c>
    </row>
    <row r="63" spans="1:30" hidden="true" outlineLevel="1">
      <c r="A63" s="181" t="str">
        <f>Calculations!$A$6</f>
        <v>Onions</v>
      </c>
      <c r="B63" s="36">
        <f>N63</f>
        <v>1166.666666666667</v>
      </c>
      <c r="C63" s="36">
        <f>O63</f>
        <v>1166.666666666667</v>
      </c>
      <c r="D63" s="36">
        <f>P63</f>
        <v>1166.666666666667</v>
      </c>
      <c r="E63" s="36">
        <f>Q63</f>
        <v>1166.666666666667</v>
      </c>
      <c r="F63" s="36">
        <f>R63</f>
        <v>1166.666666666667</v>
      </c>
      <c r="G63" s="36">
        <f>S63</f>
        <v>1166.666666666667</v>
      </c>
      <c r="H63" s="36">
        <f>T63</f>
        <v>1166.666666666667</v>
      </c>
      <c r="I63" s="36">
        <f>U63</f>
        <v>1166.666666666667</v>
      </c>
      <c r="J63" s="36">
        <f>V63</f>
        <v>1166.666666666667</v>
      </c>
      <c r="K63" s="36">
        <f>W63</f>
        <v>1166.666666666667</v>
      </c>
      <c r="L63" s="36">
        <f>X63</f>
        <v>1166.666666666667</v>
      </c>
      <c r="M63" s="36">
        <f>Y63</f>
        <v>1166.666666666667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1166.666666666667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1166.666666666667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1166.666666666667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1166.666666666667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1166.666666666667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1166.666666666667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1166.666666666667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1166.666666666667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1166.666666666667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1166.666666666667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1166.666666666667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1166.666666666667</v>
      </c>
      <c r="Z63" s="46">
        <f>SUMIF($B$13:$Y$13,"Yes",B63:Y63)</f>
        <v>7000.000000000001</v>
      </c>
      <c r="AA63" s="46">
        <f>SUM(B63:M63)</f>
        <v>14000</v>
      </c>
      <c r="AB63" s="46">
        <f>SUM(B63:Y63)</f>
        <v>28000.00000000001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7441</v>
      </c>
      <c r="C66" s="36">
        <f>O66</f>
        <v>7441</v>
      </c>
      <c r="D66" s="36">
        <f>P66</f>
        <v>1225</v>
      </c>
      <c r="E66" s="36">
        <f>Q66</f>
        <v>2401</v>
      </c>
      <c r="F66" s="36">
        <f>R66</f>
        <v>2401</v>
      </c>
      <c r="G66" s="36">
        <f>S66</f>
        <v>2401</v>
      </c>
      <c r="H66" s="36">
        <f>T66</f>
        <v>2401</v>
      </c>
      <c r="I66" s="36">
        <f>U66</f>
        <v>7441</v>
      </c>
      <c r="J66" s="36">
        <f>V66</f>
        <v>6265</v>
      </c>
      <c r="K66" s="36">
        <f>W66</f>
        <v>7441</v>
      </c>
      <c r="L66" s="36">
        <f>X66</f>
        <v>7441</v>
      </c>
      <c r="M66" s="36">
        <f>Y66</f>
        <v>7441</v>
      </c>
      <c r="N66" s="46">
        <f>SUM(N67:N71)</f>
        <v>7441</v>
      </c>
      <c r="O66" s="46">
        <f>SUM(O67:O71)</f>
        <v>7441</v>
      </c>
      <c r="P66" s="46">
        <f>SUM(P67:P71)</f>
        <v>1225</v>
      </c>
      <c r="Q66" s="46">
        <f>SUM(Q67:Q71)</f>
        <v>2401</v>
      </c>
      <c r="R66" s="46">
        <f>SUM(R67:R71)</f>
        <v>2401</v>
      </c>
      <c r="S66" s="46">
        <f>SUM(S67:S71)</f>
        <v>2401</v>
      </c>
      <c r="T66" s="46">
        <f>SUM(T67:T71)</f>
        <v>2401</v>
      </c>
      <c r="U66" s="46">
        <f>SUM(U67:U71)</f>
        <v>7441</v>
      </c>
      <c r="V66" s="46">
        <f>SUM(V67:V71)</f>
        <v>6265</v>
      </c>
      <c r="W66" s="46">
        <f>SUM(W67:W71)</f>
        <v>7441</v>
      </c>
      <c r="X66" s="46">
        <f>SUM(X67:X71)</f>
        <v>7441</v>
      </c>
      <c r="Y66" s="46">
        <f>SUM(Y67:Y71)</f>
        <v>7441</v>
      </c>
      <c r="Z66" s="46">
        <f>SUMIF($B$13:$Y$13,"Yes",B66:Y66)</f>
        <v>23310</v>
      </c>
      <c r="AA66" s="46">
        <f>SUM(B66:M66)</f>
        <v>61740</v>
      </c>
      <c r="AB66" s="46">
        <f>SUM(B66:Y66)</f>
        <v>123480</v>
      </c>
    </row>
    <row r="67" spans="1:30" hidden="true" outlineLevel="1">
      <c r="A67" s="181" t="str">
        <f>Calculations!$A$4</f>
        <v>Maize</v>
      </c>
      <c r="B67" s="36">
        <f>N67</f>
        <v>5040</v>
      </c>
      <c r="C67" s="36">
        <f>O67</f>
        <v>5040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5040</v>
      </c>
      <c r="J67" s="36">
        <f>V67</f>
        <v>5040</v>
      </c>
      <c r="K67" s="36">
        <f>W67</f>
        <v>5040</v>
      </c>
      <c r="L67" s="36">
        <f>X67</f>
        <v>5040</v>
      </c>
      <c r="M67" s="36">
        <f>Y67</f>
        <v>5040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5040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5040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5040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5040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5040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5040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5040</v>
      </c>
      <c r="Z67" s="46">
        <f>SUMIF($B$13:$Y$13,"Yes",B67:Y67)</f>
        <v>10080</v>
      </c>
      <c r="AA67" s="46">
        <f>SUM(B67:M67)</f>
        <v>35280</v>
      </c>
      <c r="AB67" s="46">
        <f>SUM(B67:Y67)</f>
        <v>70560</v>
      </c>
    </row>
    <row r="68" spans="1:30" hidden="true" outlineLevel="1">
      <c r="A68" s="181" t="str">
        <f>Calculations!$A$5</f>
        <v>Potatoes</v>
      </c>
      <c r="B68" s="36">
        <f>N68</f>
        <v>1176</v>
      </c>
      <c r="C68" s="36">
        <f>O68</f>
        <v>1176</v>
      </c>
      <c r="D68" s="36">
        <f>P68</f>
        <v>0</v>
      </c>
      <c r="E68" s="36">
        <f>Q68</f>
        <v>1176</v>
      </c>
      <c r="F68" s="36">
        <f>R68</f>
        <v>1176</v>
      </c>
      <c r="G68" s="36">
        <f>S68</f>
        <v>1176</v>
      </c>
      <c r="H68" s="36">
        <f>T68</f>
        <v>1176</v>
      </c>
      <c r="I68" s="36">
        <f>U68</f>
        <v>1176</v>
      </c>
      <c r="J68" s="36">
        <f>V68</f>
        <v>0</v>
      </c>
      <c r="K68" s="36">
        <f>W68</f>
        <v>1176</v>
      </c>
      <c r="L68" s="36">
        <f>X68</f>
        <v>1176</v>
      </c>
      <c r="M68" s="36">
        <f>Y68</f>
        <v>1176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1176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1176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1176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1176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1176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1176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1176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1176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1176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1176</v>
      </c>
      <c r="Z68" s="46">
        <f>SUMIF($B$13:$Y$13,"Yes",B68:Y68)</f>
        <v>5880</v>
      </c>
      <c r="AA68" s="46">
        <f>SUM(B68:M68)</f>
        <v>11760</v>
      </c>
      <c r="AB68" s="46">
        <f>SUM(B68:Y68)</f>
        <v>23520</v>
      </c>
    </row>
    <row r="69" spans="1:30" hidden="true" outlineLevel="1">
      <c r="A69" s="181" t="str">
        <f>Calculations!$A$6</f>
        <v>Onions</v>
      </c>
      <c r="B69" s="36">
        <f>N69</f>
        <v>1225</v>
      </c>
      <c r="C69" s="36">
        <f>O69</f>
        <v>1225</v>
      </c>
      <c r="D69" s="36">
        <f>P69</f>
        <v>1225</v>
      </c>
      <c r="E69" s="36">
        <f>Q69</f>
        <v>1225</v>
      </c>
      <c r="F69" s="36">
        <f>R69</f>
        <v>1225</v>
      </c>
      <c r="G69" s="36">
        <f>S69</f>
        <v>1225</v>
      </c>
      <c r="H69" s="36">
        <f>T69</f>
        <v>1225</v>
      </c>
      <c r="I69" s="36">
        <f>U69</f>
        <v>1225</v>
      </c>
      <c r="J69" s="36">
        <f>V69</f>
        <v>1225</v>
      </c>
      <c r="K69" s="36">
        <f>W69</f>
        <v>1225</v>
      </c>
      <c r="L69" s="36">
        <f>X69</f>
        <v>1225</v>
      </c>
      <c r="M69" s="36">
        <f>Y69</f>
        <v>1225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1225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1225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1225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1225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1225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1225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1225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1225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1225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1225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1225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1225</v>
      </c>
      <c r="Z69" s="46">
        <f>SUMIF($B$13:$Y$13,"Yes",B69:Y69)</f>
        <v>7350</v>
      </c>
      <c r="AA69" s="46">
        <f>SUM(B69:M69)</f>
        <v>14700</v>
      </c>
      <c r="AB69" s="46">
        <f>SUM(B69:Y69)</f>
        <v>29400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75000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75000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75000</v>
      </c>
      <c r="AB72" s="46">
        <f>SUM(B72:Y72)</f>
        <v>150000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18250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999.9999999999999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6000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28093.01637493381</v>
      </c>
      <c r="C81" s="46">
        <f>(SUM($AA$18:$AA$29)-SUM($AA$36,$AA$42,$AA$48,$AA$54,$AA$60,$AA$66,$AA$72:$AA$79))*Parameters!$B$37/12</f>
        <v>28093.01637493381</v>
      </c>
      <c r="D81" s="46">
        <f>(SUM($AA$18:$AA$29)-SUM($AA$36,$AA$42,$AA$48,$AA$54,$AA$60,$AA$66,$AA$72:$AA$79))*Parameters!$B$37/12</f>
        <v>28093.01637493381</v>
      </c>
      <c r="E81" s="46">
        <f>(SUM($AA$18:$AA$29)-SUM($AA$36,$AA$42,$AA$48,$AA$54,$AA$60,$AA$66,$AA$72:$AA$79))*Parameters!$B$37/12</f>
        <v>28093.01637493381</v>
      </c>
      <c r="F81" s="46">
        <f>(SUM($AA$18:$AA$29)-SUM($AA$36,$AA$42,$AA$48,$AA$54,$AA$60,$AA$66,$AA$72:$AA$79))*Parameters!$B$37/12</f>
        <v>28093.01637493381</v>
      </c>
      <c r="G81" s="46">
        <f>(SUM($AA$18:$AA$29)-SUM($AA$36,$AA$42,$AA$48,$AA$54,$AA$60,$AA$66,$AA$72:$AA$79))*Parameters!$B$37/12</f>
        <v>28093.01637493381</v>
      </c>
      <c r="H81" s="46">
        <f>(SUM($AA$18:$AA$29)-SUM($AA$36,$AA$42,$AA$48,$AA$54,$AA$60,$AA$66,$AA$72:$AA$79))*Parameters!$B$37/12</f>
        <v>28093.01637493381</v>
      </c>
      <c r="I81" s="46">
        <f>(SUM($AA$18:$AA$29)-SUM($AA$36,$AA$42,$AA$48,$AA$54,$AA$60,$AA$66,$AA$72:$AA$79))*Parameters!$B$37/12</f>
        <v>28093.01637493381</v>
      </c>
      <c r="J81" s="46">
        <f>(SUM($AA$18:$AA$29)-SUM($AA$36,$AA$42,$AA$48,$AA$54,$AA$60,$AA$66,$AA$72:$AA$79))*Parameters!$B$37/12</f>
        <v>28093.01637493381</v>
      </c>
      <c r="K81" s="46">
        <f>(SUM($AA$18:$AA$29)-SUM($AA$36,$AA$42,$AA$48,$AA$54,$AA$60,$AA$66,$AA$72:$AA$79))*Parameters!$B$37/12</f>
        <v>28093.01637493381</v>
      </c>
      <c r="L81" s="46">
        <f>(SUM($AA$18:$AA$29)-SUM($AA$36,$AA$42,$AA$48,$AA$54,$AA$60,$AA$66,$AA$72:$AA$79))*Parameters!$B$37/12</f>
        <v>28093.01637493381</v>
      </c>
      <c r="M81" s="46">
        <f>(SUM($AA$18:$AA$29)-SUM($AA$36,$AA$42,$AA$48,$AA$54,$AA$60,$AA$66,$AA$72:$AA$79))*Parameters!$B$37/12</f>
        <v>28093.01637493381</v>
      </c>
      <c r="N81" s="46">
        <f>(SUM($AA$18:$AA$29)-SUM($AA$36,$AA$42,$AA$48,$AA$54,$AA$60,$AA$66,$AA$72:$AA$79))*Parameters!$B$37/12</f>
        <v>28093.01637493381</v>
      </c>
      <c r="O81" s="46">
        <f>(SUM($AA$18:$AA$29)-SUM($AA$36,$AA$42,$AA$48,$AA$54,$AA$60,$AA$66,$AA$72:$AA$79))*Parameters!$B$37/12</f>
        <v>28093.01637493381</v>
      </c>
      <c r="P81" s="46">
        <f>(SUM($AA$18:$AA$29)-SUM($AA$36,$AA$42,$AA$48,$AA$54,$AA$60,$AA$66,$AA$72:$AA$79))*Parameters!$B$37/12</f>
        <v>28093.01637493381</v>
      </c>
      <c r="Q81" s="46">
        <f>(SUM($AA$18:$AA$29)-SUM($AA$36,$AA$42,$AA$48,$AA$54,$AA$60,$AA$66,$AA$72:$AA$79))*Parameters!$B$37/12</f>
        <v>28093.01637493381</v>
      </c>
      <c r="R81" s="46">
        <f>(SUM($AA$18:$AA$29)-SUM($AA$36,$AA$42,$AA$48,$AA$54,$AA$60,$AA$66,$AA$72:$AA$79))*Parameters!$B$37/12</f>
        <v>28093.01637493381</v>
      </c>
      <c r="S81" s="46">
        <f>(SUM($AA$18:$AA$29)-SUM($AA$36,$AA$42,$AA$48,$AA$54,$AA$60,$AA$66,$AA$72:$AA$79))*Parameters!$B$37/12</f>
        <v>28093.01637493381</v>
      </c>
      <c r="T81" s="46">
        <f>(SUM($AA$18:$AA$29)-SUM($AA$36,$AA$42,$AA$48,$AA$54,$AA$60,$AA$66,$AA$72:$AA$79))*Parameters!$B$37/12</f>
        <v>28093.01637493381</v>
      </c>
      <c r="U81" s="46">
        <f>(SUM($AA$18:$AA$29)-SUM($AA$36,$AA$42,$AA$48,$AA$54,$AA$60,$AA$66,$AA$72:$AA$79))*Parameters!$B$37/12</f>
        <v>28093.01637493381</v>
      </c>
      <c r="V81" s="46">
        <f>(SUM($AA$18:$AA$29)-SUM($AA$36,$AA$42,$AA$48,$AA$54,$AA$60,$AA$66,$AA$72:$AA$79))*Parameters!$B$37/12</f>
        <v>28093.01637493381</v>
      </c>
      <c r="W81" s="46">
        <f>(SUM($AA$18:$AA$29)-SUM($AA$36,$AA$42,$AA$48,$AA$54,$AA$60,$AA$66,$AA$72:$AA$79))*Parameters!$B$37/12</f>
        <v>28093.01637493381</v>
      </c>
      <c r="X81" s="46">
        <f>(SUM($AA$18:$AA$29)-SUM($AA$36,$AA$42,$AA$48,$AA$54,$AA$60,$AA$66,$AA$72:$AA$79))*Parameters!$B$37/12</f>
        <v>28093.01637493381</v>
      </c>
      <c r="Y81" s="46">
        <f>(SUM($AA$18:$AA$29)-SUM($AA$36,$AA$42,$AA$48,$AA$54,$AA$60,$AA$66,$AA$72:$AA$79))*Parameters!$B$37/12</f>
        <v>28093.01637493381</v>
      </c>
      <c r="Z81" s="46">
        <f>SUMIF($B$13:$Y$13,"Yes",B81:Y81)</f>
        <v>168558.0982496029</v>
      </c>
      <c r="AA81" s="46">
        <f>SUM(B81:M81)</f>
        <v>337116.1964992058</v>
      </c>
      <c r="AB81" s="46">
        <f>SUM(B81:Y81)</f>
        <v>674232.3929984114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46194.73066064809</v>
      </c>
      <c r="C88" s="19">
        <f>SUM(C72:C82,C66,C60,C54,C48,C42,C36)</f>
        <v>74404.17051866915</v>
      </c>
      <c r="D88" s="19">
        <f>SUM(D72:D82,D66,D60,D54,D48,D42,D36)</f>
        <v>34693.0163749338</v>
      </c>
      <c r="E88" s="19">
        <f>SUM(E72:E82,E66,E60,E54,E48,E42,E36)</f>
        <v>62869.0163749338</v>
      </c>
      <c r="F88" s="19">
        <f>SUM(F72:F82,F66,F60,F54,F48,F42,F36)</f>
        <v>40369.0163749338</v>
      </c>
      <c r="G88" s="19">
        <f>SUM(G72:G82,G66,G60,G54,G48,G42,G36)</f>
        <v>41169.0163749338</v>
      </c>
      <c r="H88" s="19">
        <f>SUM(H72:H82,H66,H60,H54,H48,H42,H36)</f>
        <v>36869.0163749338</v>
      </c>
      <c r="I88" s="19">
        <f>SUM(I72:I82,I66,I60,I54,I48,I42,I36)</f>
        <v>137012.7306606481</v>
      </c>
      <c r="J88" s="19">
        <f>SUM(J72:J82,J66,J60,J54,J48,J42,J36)</f>
        <v>44018.73066064809</v>
      </c>
      <c r="K88" s="19">
        <f>SUM(K72:K82,K66,K60,K54,K48,K42,K36)</f>
        <v>72194.73066064809</v>
      </c>
      <c r="L88" s="19">
        <f>SUM(L72:L82,L66,L60,L54,L48,L42,L36)</f>
        <v>51494.73066064809</v>
      </c>
      <c r="M88" s="19">
        <f>SUM(M72:M82,M66,M60,M54,M48,M42,M36)</f>
        <v>50494.73066064809</v>
      </c>
      <c r="N88" s="19">
        <f>SUM(N72:N82,N66,N60,N54,N48,N42,N36)</f>
        <v>46194.73066064809</v>
      </c>
      <c r="O88" s="19">
        <f>SUM(O72:O82,O66,O60,O54,O48,O42,O36)</f>
        <v>74404.17051866915</v>
      </c>
      <c r="P88" s="19">
        <f>SUM(P72:P82,P66,P60,P54,P48,P42,P36)</f>
        <v>34693.0163749338</v>
      </c>
      <c r="Q88" s="19">
        <f>SUM(Q72:Q82,Q66,Q60,Q54,Q48,Q42,Q36)</f>
        <v>62869.0163749338</v>
      </c>
      <c r="R88" s="19">
        <f>SUM(R72:R82,R66,R60,R54,R48,R42,R36)</f>
        <v>40369.0163749338</v>
      </c>
      <c r="S88" s="19">
        <f>SUM(S72:S82,S66,S60,S54,S48,S42,S36)</f>
        <v>41169.0163749338</v>
      </c>
      <c r="T88" s="19">
        <f>SUM(T72:T82,T66,T60,T54,T48,T42,T36)</f>
        <v>36869.0163749338</v>
      </c>
      <c r="U88" s="19">
        <f>SUM(U72:U82,U66,U60,U54,U48,U42,U36)</f>
        <v>137012.7306606481</v>
      </c>
      <c r="V88" s="19">
        <f>SUM(V72:V82,V66,V60,V54,V48,V42,V36)</f>
        <v>44018.73066064809</v>
      </c>
      <c r="W88" s="19">
        <f>SUM(W72:W82,W66,W60,W54,W48,W42,W36)</f>
        <v>72194.73066064809</v>
      </c>
      <c r="X88" s="19">
        <f>SUM(X72:X82,X66,X60,X54,X48,X42,X36)</f>
        <v>51494.73066064809</v>
      </c>
      <c r="Y88" s="19">
        <f>SUM(Y72:Y82,Y66,Y60,Y54,Y48,Y42,Y36)</f>
        <v>50494.73066064809</v>
      </c>
      <c r="Z88" s="19">
        <f>SUMIF($B$13:$Y$13,"Yes",B88:Y88)</f>
        <v>299698.9666790524</v>
      </c>
      <c r="AA88" s="19">
        <f>SUM(B88:M88)</f>
        <v>691783.6363572266</v>
      </c>
      <c r="AB88" s="19">
        <f>SUM(B88:Y88)</f>
        <v>1383567.272714453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295000</v>
      </c>
    </row>
    <row r="101" spans="1:30" customHeight="1" ht="15.75">
      <c r="A101" s="1" t="s">
        <v>67</v>
      </c>
      <c r="B101" s="19">
        <f>SUM(B94:B100)</f>
        <v>945000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6987</v>
      </c>
    </row>
    <row r="106" spans="1:30" customHeight="1" ht="15.75">
      <c r="A106" s="18" t="s">
        <v>71</v>
      </c>
      <c r="B106" s="37">
        <f>Calculations!G35</f>
        <v>295000</v>
      </c>
    </row>
    <row r="107" spans="1:30" customHeight="1" ht="15.75">
      <c r="A107" s="1" t="s">
        <v>72</v>
      </c>
      <c r="B107" s="19">
        <f>SUM(B104:B106)</f>
        <v>331987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113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30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0</v>
      </c>
    </row>
    <row r="31" spans="1:48">
      <c r="A31" s="5" t="s">
        <v>120</v>
      </c>
      <c r="B31" s="158">
        <v>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128</v>
      </c>
    </row>
    <row r="41" spans="1:48">
      <c r="A41" s="55" t="s">
        <v>129</v>
      </c>
      <c r="B41" s="140">
        <v>75000</v>
      </c>
    </row>
    <row r="42" spans="1:48">
      <c r="A42" s="55" t="s">
        <v>130</v>
      </c>
      <c r="B42" s="139" t="s">
        <v>94</v>
      </c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128</v>
      </c>
    </row>
    <row r="45" spans="1:48">
      <c r="A45" s="56" t="s">
        <v>134</v>
      </c>
      <c r="B45" s="161"/>
    </row>
    <row r="46" spans="1:48" customHeight="1" ht="30">
      <c r="A46" s="57" t="s">
        <v>135</v>
      </c>
      <c r="B46" s="161">
        <v>100000</v>
      </c>
    </row>
    <row r="47" spans="1:48" customHeight="1" ht="30">
      <c r="A47" s="57" t="s">
        <v>136</v>
      </c>
      <c r="B47" s="161">
        <v>0</v>
      </c>
    </row>
    <row r="48" spans="1:48" customHeight="1" ht="30">
      <c r="A48" s="57" t="s">
        <v>137</v>
      </c>
      <c r="B48" s="161">
        <v>295000</v>
      </c>
    </row>
    <row r="49" spans="1:48" customHeight="1" ht="30">
      <c r="A49" s="57" t="s">
        <v>138</v>
      </c>
      <c r="B49" s="161">
        <v>150000</v>
      </c>
    </row>
    <row r="50" spans="1:48">
      <c r="A50" s="43"/>
      <c r="B50" s="36"/>
    </row>
    <row r="51" spans="1:48">
      <c r="A51" s="58" t="s">
        <v>139</v>
      </c>
      <c r="B51" s="161">
        <v>30000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615776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6500</v>
      </c>
      <c r="B57" s="157">
        <v>6987</v>
      </c>
      <c r="C57" s="164" t="s">
        <v>150</v>
      </c>
      <c r="D57" s="165" t="s">
        <v>151</v>
      </c>
      <c r="E57" s="165" t="s">
        <v>92</v>
      </c>
      <c r="F57" s="165" t="s">
        <v>149</v>
      </c>
    </row>
    <row r="58" spans="1:48">
      <c r="A58" s="157">
        <v>6693</v>
      </c>
      <c r="B58" s="157">
        <v>0</v>
      </c>
      <c r="C58" s="164" t="s">
        <v>147</v>
      </c>
      <c r="D58" s="165" t="s">
        <v>148</v>
      </c>
      <c r="E58" s="165" t="s">
        <v>92</v>
      </c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153</v>
      </c>
      <c r="C65" s="10" t="s">
        <v>154</v>
      </c>
    </row>
    <row r="66" spans="1:48">
      <c r="A66" s="142" t="s">
        <v>155</v>
      </c>
      <c r="B66" s="159">
        <v>677332</v>
      </c>
      <c r="C66" s="163">
        <v>611314</v>
      </c>
      <c r="D66" s="49">
        <f>INDEX(Parameters!$D$79:$D$90,MATCH(Inputs!A66,Parameters!$C$79:$C$90,0))</f>
        <v>11</v>
      </c>
    </row>
    <row r="67" spans="1:48">
      <c r="A67" s="143" t="s">
        <v>94</v>
      </c>
      <c r="B67" s="157">
        <v>374060</v>
      </c>
      <c r="C67" s="165">
        <v>319420</v>
      </c>
      <c r="D67" s="49">
        <f>INDEX(Parameters!$D$79:$D$90,MATCH(Inputs!A67,Parameters!$C$79:$C$90,0))</f>
        <v>12</v>
      </c>
    </row>
    <row r="68" spans="1:48">
      <c r="A68" s="143" t="s">
        <v>156</v>
      </c>
      <c r="B68" s="157">
        <v>306880</v>
      </c>
      <c r="C68" s="165">
        <v>254140</v>
      </c>
      <c r="D68" s="49">
        <f>INDEX(Parameters!$D$79:$D$90,MATCH(Inputs!A68,Parameters!$C$79:$C$90,0))</f>
        <v>1</v>
      </c>
    </row>
    <row r="69" spans="1:48">
      <c r="A69" s="143" t="s">
        <v>157</v>
      </c>
      <c r="B69" s="157">
        <v>276279</v>
      </c>
      <c r="C69" s="165">
        <v>222455</v>
      </c>
      <c r="D69" s="49">
        <f>INDEX(Parameters!$D$79:$D$90,MATCH(Inputs!A69,Parameters!$C$79:$C$90,0))</f>
        <v>2</v>
      </c>
    </row>
    <row r="70" spans="1:48">
      <c r="A70" s="143" t="s">
        <v>158</v>
      </c>
      <c r="B70" s="157">
        <v>409754</v>
      </c>
      <c r="C70" s="165">
        <v>343772</v>
      </c>
      <c r="D70" s="49">
        <f>INDEX(Parameters!$D$79:$D$90,MATCH(Inputs!A70,Parameters!$C$79:$C$90,0))</f>
        <v>3</v>
      </c>
    </row>
    <row r="71" spans="1:48">
      <c r="A71" s="144" t="s">
        <v>159</v>
      </c>
      <c r="B71" s="158">
        <v>231100</v>
      </c>
      <c r="C71" s="167">
        <v>179637</v>
      </c>
      <c r="D71" s="49">
        <f>INDEX(Parameters!$D$79:$D$90,MATCH(Inputs!A71,Parameters!$C$79:$C$90,0))</f>
        <v>4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19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295000</v>
      </c>
    </row>
    <row r="82" spans="1:48">
      <c r="A82" t="s">
        <v>170</v>
      </c>
      <c r="B82" s="161">
        <v>18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3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43160</v>
      </c>
      <c r="D4" s="38">
        <f>IFERROR(DATE(YEAR(B4),MONTH(B4)+T4,DAY(B4)),"")</f>
        <v>43252</v>
      </c>
      <c r="E4" s="38">
        <f>IFERROR(IF($S4=0,"",IF($S4=2,DATE(YEAR(B4),MONTH(B4)+6,DAY(B4)),IF($S4=1,B4,""))),"")</f>
        <v>43070</v>
      </c>
      <c r="F4" s="38">
        <f>IFERROR(IF($S4=0,"",IF($S4=2,DATE(YEAR(C4),MONTH(C4)+6,DAY(C4)),IF($S4=1,C4,""))),"")</f>
        <v>43160</v>
      </c>
      <c r="G4" s="38">
        <f>IFERROR(IF($S4=0,"",IF($S4=2,DATE(YEAR(D4),MONTH(D4)+6,DAY(D4)),IF($S4=1,D4,""))),"")</f>
        <v>43252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5697.704316961101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113669.201123374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13104.71992901053</v>
      </c>
      <c r="AB4" s="33">
        <f>H4*IFERROR(INDEX(Parameters!$A$3:$AI$17,MATCH(Calculations!A4,Parameters!$A$3:$A$17,0),MATCH(Parameters!$O$3,Parameters!$A$3:$AI$3,0)),AVERAGE(Parameters!$O$4:$O$17))*(1-Inputs!$B$25/100)</f>
        <v>25200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8558.01473327987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182114.5535241956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24000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4300</v>
      </c>
      <c r="Z5" s="34">
        <f>IF(Inputs!I8=Parameters!$F$78,H5*INDEX(Parameters!$A$3:$AI$18,MATCH(Calculations!A5,Parameters!$A$3:$A$18,0),MATCH(Parameters!$Q$3,Parameters!$A$3:$AI$3,0)),0)</f>
        <v>5000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8400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42979</v>
      </c>
      <c r="C6" s="39">
        <f>IFERROR(DATE(YEAR(B6),MONTH(B6)+ROUND(T6/2,0),DAY(B6)),B6)</f>
        <v>43070</v>
      </c>
      <c r="D6" s="39">
        <f>IFERROR(DATE(YEAR(B6),MONTH(B6)+T6,DAY(B6)),"")</f>
        <v>43132</v>
      </c>
      <c r="E6" s="39">
        <f>IFERROR(IF($S6=0,"",IF($S6=2,DATE(YEAR(B6),MONTH(B6)+6,DAY(B6)),IF($S6=1,B6,""))),"")</f>
        <v>43160</v>
      </c>
      <c r="F6" s="39">
        <f>IFERROR(IF($S6=0,"",IF($S6=2,DATE(YEAR(C6),MONTH(C6)+6,DAY(C6)),IF($S6=1,C6,""))),"")</f>
        <v>43252</v>
      </c>
      <c r="G6" s="39">
        <f>IFERROR(IF($S6=0,"",IF($S6=2,DATE(YEAR(D6),MONTH(D6)+6,DAY(D6)),IF($S6=1,D6,""))),"")</f>
        <v>43313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3479.15654460647</v>
      </c>
      <c r="M6" s="30">
        <f>L6*H6</f>
        <v>3479.15654460647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56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370182.2563461284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1500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2000</v>
      </c>
      <c r="Z6" s="34">
        <f>IF(Inputs!I9=Parameters!$F$78,H6*INDEX(Parameters!$A$3:$AI$18,MATCH(Calculations!A6,Parameters!$A$3:$A$18,0),MATCH(Parameters!$Q$3,Parameters!$A$3:$AI$3,0)),0)</f>
        <v>7000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10500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615776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6500</v>
      </c>
      <c r="B24" s="46">
        <f>SUM(C24:D24)</f>
        <v>-73.07017543859648</v>
      </c>
      <c r="C24" s="46">
        <f>IF(Inputs!B57&gt;0,(Inputs!A57-Inputs!B57)/(DATE(YEAR(Inputs!$B$76),MONTH(Inputs!$B$76),DAY(Inputs!$B$76))-DATE(YEAR(Inputs!C57),MONTH(Inputs!C57),DAY(Inputs!C57)))*30,0)</f>
        <v>-192.2368421052632</v>
      </c>
      <c r="D24" s="46">
        <f>IF(Inputs!B57&gt;0,Inputs!A57*0.22/12,0)</f>
        <v>119.1666666666667</v>
      </c>
      <c r="E24" s="46">
        <f>IFERROR(ROUNDUP(Inputs!B57/B24,0),0)</f>
        <v>-96</v>
      </c>
      <c r="H24" s="1"/>
    </row>
    <row r="25" spans="1:52">
      <c r="A25" s="46">
        <f>Inputs!A58</f>
        <v>6693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42934</v>
      </c>
      <c r="C33" s="27">
        <f>IF(B33&lt;&gt;"",IF(COUNT($A$33:A33)&lt;=$G$39,0,$G$41)+IF(COUNT($A$33:A33)&lt;=$G$40,0,$G$42),0)</f>
        <v>78175</v>
      </c>
      <c r="D33" s="170">
        <f>IFERROR(DATE(YEAR(B33),MONTH(B33),1)," ")</f>
        <v>42917</v>
      </c>
      <c r="F33" t="s">
        <v>165</v>
      </c>
      <c r="G33" s="128">
        <f>IF(Inputs!B79="","",DATE(YEAR(Inputs!B79),MONTH(Inputs!B79),DAY(Inputs!B79)))</f>
        <v>42873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42965</v>
      </c>
      <c r="C34" s="27">
        <f>IF(B34&lt;&gt;"",IF(COUNT($A$33:A34)&lt;=$G$39,0,$G$41)+IF(COUNT($A$33:A34)&lt;=$G$40,0,$G$42),0)</f>
        <v>78175</v>
      </c>
      <c r="D34" s="170">
        <f>IFERROR(DATE(YEAR(B34),MONTH(B34),1)," ")</f>
        <v>42948</v>
      </c>
      <c r="F34" t="s">
        <v>167</v>
      </c>
      <c r="G34" s="128">
        <f>IF(Inputs!B80="","",DATE(YEAR(Inputs!B80),MONTH(Inputs!B80),DAY(Inputs!B80)))</f>
        <v>42934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42996</v>
      </c>
      <c r="C35" s="27">
        <f>IF(B35&lt;&gt;"",IF(COUNT($A$33:A35)&lt;=$G$39,0,$G$41)+IF(COUNT($A$33:A35)&lt;=$G$40,0,$G$42),0)</f>
        <v>78175</v>
      </c>
      <c r="D35" s="170">
        <f>IFERROR(DATE(YEAR(B35),MONTH(B35),1)," ")</f>
        <v>42979</v>
      </c>
      <c r="F35" t="s">
        <v>169</v>
      </c>
      <c r="G35" s="27">
        <f>Inputs!B81</f>
        <v>295000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43026</v>
      </c>
      <c r="C36" s="27">
        <f>IF(B36&lt;&gt;"",IF(COUNT($A$33:A36)&lt;=$G$39,0,$G$41)+IF(COUNT($A$33:A36)&lt;=$G$40,0,$G$42),0)</f>
        <v>78175</v>
      </c>
      <c r="D36" s="170">
        <f>IFERROR(DATE(YEAR(B36),MONTH(B36),1)," ")</f>
        <v>43009</v>
      </c>
      <c r="F36" t="s">
        <v>170</v>
      </c>
      <c r="G36" s="130">
        <f>Inputs!B82/100</f>
        <v>0.18</v>
      </c>
    </row>
    <row r="37" spans="1:52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232</v>
      </c>
      <c r="G38" s="27">
        <f>IFERROR(Inputs!B85/Inputs!B84,"")</f>
        <v>4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233</v>
      </c>
      <c r="G41" s="73">
        <f>IFERROR(G35/(G38-G39),"")</f>
        <v>73750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234</v>
      </c>
      <c r="G42" s="73">
        <f>IFERROR(G35*G36*IF(G37="Monthly",G38/12,IF(G37="Fortnightly",G38/(365/14),G38/(365/28)))/(G38-G40),"")</f>
        <v>4425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207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100</v>
      </c>
      <c r="B41" s="191" t="s">
        <v>128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132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128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128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128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128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128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128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128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128</v>
      </c>
      <c r="F77" s="12" t="s">
        <v>128</v>
      </c>
      <c r="G77" s="12" t="s">
        <v>354</v>
      </c>
      <c r="H77" s="12" t="s">
        <v>132</v>
      </c>
      <c r="I77" s="12" t="s">
        <v>355</v>
      </c>
      <c r="J77" s="136" t="s">
        <v>356</v>
      </c>
      <c r="K77" s="12" t="s">
        <v>128</v>
      </c>
      <c r="AJ77" s="12"/>
    </row>
    <row r="78" spans="1:36">
      <c r="A78" t="s">
        <v>128</v>
      </c>
      <c r="B78" s="176">
        <v>5</v>
      </c>
      <c r="C78" s="134" t="s">
        <v>357</v>
      </c>
      <c r="D78" s="133"/>
      <c r="E78" s="12" t="s">
        <v>358</v>
      </c>
      <c r="F78" s="12" t="s">
        <v>93</v>
      </c>
      <c r="G78" s="12" t="s">
        <v>359</v>
      </c>
      <c r="H78" s="12" t="s">
        <v>319</v>
      </c>
      <c r="I78" s="12" t="s">
        <v>360</v>
      </c>
      <c r="J78" s="70" t="s">
        <v>361</v>
      </c>
      <c r="K78" s="12" t="s">
        <v>128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362</v>
      </c>
      <c r="F79" s="12" t="s">
        <v>363</v>
      </c>
      <c r="G79" s="12" t="s">
        <v>113</v>
      </c>
      <c r="I79" s="12" t="s">
        <v>172</v>
      </c>
      <c r="J79" s="70" t="s">
        <v>364</v>
      </c>
      <c r="K79" s="12" t="s">
        <v>128</v>
      </c>
      <c r="AJ79" s="12"/>
    </row>
    <row r="80" spans="1:36">
      <c r="B80" s="176">
        <v>20</v>
      </c>
      <c r="C80" s="12" t="s">
        <v>157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158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159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98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