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<sst xmlns="http://schemas.openxmlformats.org/spreadsheetml/2006/main" uniqueCount="368">
  <si>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</si>
  <si>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</si>
  <si>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</si>
  <si>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</si>
  <si>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</si>
  <si>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</si>
  <si>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</si>
  <si>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</si>
  <si>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</si>
  <si>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</si>
  <si>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</si>
  <si>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</si>
  <si>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</si>
  <si>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</si>
  <si>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</si>
  <si>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</si>
  <si>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</si>
  <si>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</si>
  <si>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</si>
  <si>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</si>
  <si>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</si>
  <si>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</si>
  <si>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</si>
  <si>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</si>
  <si>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</si>
  <si>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</si>
  <si>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</si>
  <si>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</si>
  <si>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</si>
  <si>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</si>
  <si>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</si>
  <si>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</si>
  <si>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</si>
  <si>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</si>
  <si>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</si>
  <si>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</si>
  <si>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</si>
  <si>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</si>
  <si>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</si>
  <si>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</si>
  <si>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</si>
  <si>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</si>
  <si>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</si>
  <si>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</si>
  <si>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</si>
  <si>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</si>
  <si>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</si>
  <si>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</si>
  <si>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</si>
  <si>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</si>
  <si>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</si>
  <si>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</si>
  <si>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</si>
  <si>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</si>
  <si>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</si>
  <si>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</si>
  <si>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</si>
  <si>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</si>
  <si>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</si>
  <si>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</si>
  <si>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</si>
  <si>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</si>
  <si>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</si>
  <si>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</si>
  <si>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</si>
  <si>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</si>
  <si>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</si>
  <si>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</si>
  <si>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</si>
  <si>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</si>
  <si>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</si>
  <si>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</si>
  <si>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</si>
  <si>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</si>
  <si>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</si>
  <si>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</si>
  <si>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</si>
  <si>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</si>
  <si>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</si>
  <si>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</si>
  <si>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</si>
  <si>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</si>
  <si>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</si>
  <si>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</si>
  <si>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</si>
  <si>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</si>
  <si>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</si>
  <si>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</si>
  <si>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</si>
  <si>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</si>
  <si>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</si>
  <si>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</si>
  <si>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</si>
  <si>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</si>
  <si>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</si>
  <si>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</si>
  <si>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</si>
  <si>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</si>
  <si>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</si>
  <si>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</si>
  <si>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</si>
  <si>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</si>
  <si>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</si>
  <si>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No</t>
  </si>
  <si>
    <t>Sometimes</t>
  </si>
  <si>
    <t>Sheep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</si>
  <si>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</si>
  <si>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</si>
  <si>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</si>
  <si>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</si>
  <si>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</si>
  <si>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as a security guard and business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</si>
  <si>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</si>
  <si>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</si>
  <si>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</si>
  <si>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</si>
  <si>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</si>
  <si>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</si>
  <si>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</si>
  <si>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</si>
  <si>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</si>
  <si>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</si>
  <si>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</si>
  <si>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</si>
  <si>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</si>
  <si>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</si>
  <si>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</si>
  <si>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</si>
  <si>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</si>
  <si>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</si>
  <si>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</si>
  <si>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</si>
  <si>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</si>
  <si>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</si>
  <si>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</si>
  <si>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</si>
  <si>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</si>
  <si>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</si>
  <si>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</si>
  <si>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</si>
  <si>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6/22/2016</t>
  </si>
  <si>
    <t xml:space="preserve">Musoni Kenya Ltd </t>
  </si>
  <si>
    <t xml:space="preserve">the client received most of his payments on 10th and this was not in line with the repayment date in the system 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</si>
  <si>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</si>
  <si>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</si>
  <si>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</si>
  <si>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</si>
  <si>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</si>
  <si>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</si>
  <si>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</si>
  <si>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2017/5/15</t>
  </si>
  <si>
    <t>Loan terms</t>
  </si>
  <si>
    <t>Expected disbursement date</t>
  </si>
  <si>
    <t>Expected first repayment date</t>
  </si>
  <si>
    <t>2017/6/15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</si>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</sst>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Sheep, Cows_beef, Chicken: sale of ex layers</v>
      </c>
    </row>
    <row r="8" spans="1:7">
      <c r="B8" s="1" t="s">
        <v>4</v>
      </c>
      <c r="C8" t="str">
        <f>IF(Inputs!B29="","None",Inputs!B29)</f>
        <v>employment as a security guard and business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0.2584357791195389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0.07596495683087862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327227.4999999999</v>
      </c>
    </row>
    <row r="18" spans="1:7">
      <c r="B18" s="1" t="s">
        <v>12</v>
      </c>
      <c r="C18" s="36">
        <f>MIN(Output!B6:M6)</f>
        <v>20161.64946483179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29365.62499999999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20161.64946483179</v>
      </c>
      <c r="C6" s="51">
        <f>C30-C88</f>
        <v>20161.64946483179</v>
      </c>
      <c r="D6" s="51">
        <f>D30-D88</f>
        <v>22613.57607033638</v>
      </c>
      <c r="E6" s="51">
        <f>E30-E88</f>
        <v>29365.62499999999</v>
      </c>
      <c r="F6" s="51">
        <f>F30-F88</f>
        <v>29365.62499999999</v>
      </c>
      <c r="G6" s="51">
        <f>G30-G88</f>
        <v>29365.62499999999</v>
      </c>
      <c r="H6" s="51">
        <f>H30-H88</f>
        <v>29365.62499999999</v>
      </c>
      <c r="I6" s="51">
        <f>I30-I88</f>
        <v>29365.62499999999</v>
      </c>
      <c r="J6" s="51">
        <f>J30-J88</f>
        <v>29365.62499999999</v>
      </c>
      <c r="K6" s="51">
        <f>K30-K88</f>
        <v>29365.62499999999</v>
      </c>
      <c r="L6" s="51">
        <f>L30-L88</f>
        <v>29365.62499999999</v>
      </c>
      <c r="M6" s="51">
        <f>M30-M88</f>
        <v>29365.62499999999</v>
      </c>
      <c r="N6" s="51">
        <f>N30-N88</f>
        <v>29365.62499999999</v>
      </c>
      <c r="O6" s="51">
        <f>O30-O88</f>
        <v>29365.62499999999</v>
      </c>
      <c r="P6" s="51">
        <f>P30-P88</f>
        <v>29365.62499999999</v>
      </c>
      <c r="Q6" s="51">
        <f>Q30-Q88</f>
        <v>29365.62499999999</v>
      </c>
      <c r="R6" s="51">
        <f>R30-R88</f>
        <v>29365.62499999999</v>
      </c>
      <c r="S6" s="51">
        <f>S30-S88</f>
        <v>29365.62499999999</v>
      </c>
      <c r="T6" s="51">
        <f>T30-T88</f>
        <v>857365.625</v>
      </c>
      <c r="U6" s="51">
        <f>U30-U88</f>
        <v>29365.62499999999</v>
      </c>
      <c r="V6" s="51">
        <f>V30-V88</f>
        <v>29365.62499999999</v>
      </c>
      <c r="W6" s="51">
        <f>W30-W88</f>
        <v>29365.62499999999</v>
      </c>
      <c r="X6" s="51">
        <f>X30-X88</f>
        <v>29365.62499999999</v>
      </c>
      <c r="Y6" s="51">
        <f>Y30-Y88</f>
        <v>29365.62499999999</v>
      </c>
      <c r="Z6" s="51">
        <f>SUMIF($B$13:$Y$13,"Yes",B6:Y6)</f>
        <v>356593.1249999999</v>
      </c>
      <c r="AA6" s="51">
        <f>AA30-AA88</f>
        <v>327227.4999999997</v>
      </c>
      <c r="AB6" s="51">
        <f>AB30-AB88</f>
        <v>1507614.999999999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120161.6494648318</v>
      </c>
      <c r="C11" s="80">
        <f>C6+C9-C10</f>
        <v>10328.31613149846</v>
      </c>
      <c r="D11" s="80">
        <f>D6+D9-D10</f>
        <v>12780.24273700304</v>
      </c>
      <c r="E11" s="80">
        <f>E6+E9-E10</f>
        <v>19532.29166666665</v>
      </c>
      <c r="F11" s="80">
        <f>F6+F9-F10</f>
        <v>19532.29166666665</v>
      </c>
      <c r="G11" s="80">
        <f>G6+G9-G10</f>
        <v>19532.29166666665</v>
      </c>
      <c r="H11" s="80">
        <f>H6+H9-H10</f>
        <v>19532.29166666665</v>
      </c>
      <c r="I11" s="80">
        <f>I6+I9-I10</f>
        <v>19532.29166666665</v>
      </c>
      <c r="J11" s="80">
        <f>J6+J9-J10</f>
        <v>19532.29166666665</v>
      </c>
      <c r="K11" s="80">
        <f>K6+K9-K10</f>
        <v>19532.29166666665</v>
      </c>
      <c r="L11" s="80">
        <f>L6+L9-L10</f>
        <v>19532.29166666665</v>
      </c>
      <c r="M11" s="80">
        <f>M6+M9-M10</f>
        <v>19532.29166666665</v>
      </c>
      <c r="N11" s="80">
        <f>N6+N9-N10</f>
        <v>19532.29166666665</v>
      </c>
      <c r="O11" s="80">
        <f>O6+O9-O10</f>
        <v>29365.62499999999</v>
      </c>
      <c r="P11" s="80">
        <f>P6+P9-P10</f>
        <v>29365.62499999999</v>
      </c>
      <c r="Q11" s="80">
        <f>Q6+Q9-Q10</f>
        <v>29365.62499999999</v>
      </c>
      <c r="R11" s="80">
        <f>R6+R9-R10</f>
        <v>29365.62499999999</v>
      </c>
      <c r="S11" s="80">
        <f>S6+S9-S10</f>
        <v>29365.62499999999</v>
      </c>
      <c r="T11" s="80">
        <f>T6+T9-T10</f>
        <v>857365.625</v>
      </c>
      <c r="U11" s="80">
        <f>U6+U9-U10</f>
        <v>29365.62499999999</v>
      </c>
      <c r="V11" s="80">
        <f>V6+V9-V10</f>
        <v>29365.62499999999</v>
      </c>
      <c r="W11" s="80">
        <f>W6+W9-W10</f>
        <v>29365.62499999999</v>
      </c>
      <c r="X11" s="80">
        <f>X6+X9-X10</f>
        <v>29365.62499999999</v>
      </c>
      <c r="Y11" s="80">
        <f>Y6+Y9-Y10</f>
        <v>29365.62499999999</v>
      </c>
      <c r="Z11" s="85">
        <f>SUMIF($B$13:$Y$13,"Yes",B11:Y11)</f>
        <v>338593.1249999998</v>
      </c>
      <c r="AA11" s="80">
        <f>SUM(B11:M11)</f>
        <v>319060.8333333331</v>
      </c>
      <c r="AB11" s="46">
        <f>SUM(B11:Y11)</f>
        <v>1489615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0.0700762696454439</v>
      </c>
      <c r="D12" s="82">
        <f>IF(D13="Yes",IF(SUM($B$10:D10)/(SUM($B$6:D6)+SUM($B$9:D9))&lt;0,999.99,SUM($B$10:D10)/(SUM($B$6:D6)+SUM($B$9:D9))),"")</f>
        <v>0.1207011406513515</v>
      </c>
      <c r="E12" s="82">
        <f>IF(E13="Yes",IF(SUM($B$10:E10)/(SUM($B$6:E6)+SUM($B$9:E9))&lt;0,999.99,SUM($B$10:E10)/(SUM($B$6:E6)+SUM($B$9:E9))),"")</f>
        <v>0.1534041419118317</v>
      </c>
      <c r="F12" s="82">
        <f>IF(F13="Yes",IF(SUM($B$10:F10)/(SUM($B$6:F6)+SUM($B$9:F9))&lt;0,999.99,SUM($B$10:F10)/(SUM($B$6:F6)+SUM($B$9:F9))),"")</f>
        <v>0.177442441638072</v>
      </c>
      <c r="G12" s="82">
        <f>IF(G13="Yes",IF(SUM($B$10:G10)/(SUM($B$6:G6)+SUM($B$9:G9))&lt;0,999.99,SUM($B$10:G10)/(SUM($B$6:G6)+SUM($B$9:G9))),"")</f>
        <v>0.1958567988036138</v>
      </c>
      <c r="H12" s="82">
        <f>IF(H13="Yes",IF(SUM($B$10:H10)/(SUM($B$6:H6)+SUM($B$9:H9))&lt;0,999.99,SUM($B$10:H10)/(SUM($B$6:H6)+SUM($B$9:H9))),"")</f>
        <v>0.2104141637262923</v>
      </c>
      <c r="I12" s="82">
        <f>IF(I13="Yes",IF(SUM($B$10:I10)/(SUM($B$6:I6)+SUM($B$9:I9))&lt;0,999.99,SUM($B$10:I10)/(SUM($B$6:I6)+SUM($B$9:I9))),"")</f>
        <v>0.2222114613766351</v>
      </c>
      <c r="J12" s="82">
        <f>IF(J13="Yes",IF(SUM($B$10:J10)/(SUM($B$6:J6)+SUM($B$9:J9))&lt;0,999.99,SUM($B$10:J10)/(SUM($B$6:J6)+SUM($B$9:J9))),"")</f>
        <v>0.2319656818568559</v>
      </c>
      <c r="K12" s="82">
        <f>IF(K13="Yes",IF(SUM($B$10:K10)/(SUM($B$6:K6)+SUM($B$9:K9))&lt;0,999.99,SUM($B$10:K10)/(SUM($B$6:K6)+SUM($B$9:K9))),"")</f>
        <v>0.2401652662679743</v>
      </c>
      <c r="L12" s="82">
        <f>IF(L13="Yes",IF(SUM($B$10:L10)/(SUM($B$6:L6)+SUM($B$9:L9))&lt;0,999.99,SUM($B$10:L10)/(SUM($B$6:L6)+SUM($B$9:L9))),"")</f>
        <v>0.2471544511102838</v>
      </c>
      <c r="M12" s="82">
        <f>IF(M13="Yes",IF(SUM($B$10:M10)/(SUM($B$6:M6)+SUM($B$9:M9))&lt;0,999.99,SUM($B$10:M10)/(SUM($B$6:M6)+SUM($B$9:M9))),"")</f>
        <v>0.2531828280404859</v>
      </c>
      <c r="N12" s="82">
        <f>IF(N13="Yes",IF(SUM($B$10:N10)/(SUM($B$6:N6)+SUM($B$9:N9))&lt;0,999.99,SUM($B$10:N10)/(SUM($B$6:N6)+SUM($B$9:N9))),"")</f>
        <v>0.2584357791195389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102000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4791.666666666666</v>
      </c>
      <c r="C24" s="36">
        <f>IFERROR(Calculations!$P14/12,"")</f>
        <v>4791.666666666666</v>
      </c>
      <c r="D24" s="36">
        <f>IFERROR(Calculations!$P14/12,"")</f>
        <v>4791.666666666666</v>
      </c>
      <c r="E24" s="36">
        <f>IFERROR(Calculations!$P14/12,"")</f>
        <v>4791.666666666666</v>
      </c>
      <c r="F24" s="36">
        <f>IFERROR(Calculations!$P14/12,"")</f>
        <v>4791.666666666666</v>
      </c>
      <c r="G24" s="36">
        <f>IFERROR(Calculations!$P14/12,"")</f>
        <v>4791.666666666666</v>
      </c>
      <c r="H24" s="36">
        <f>IFERROR(Calculations!$P14/12,"")</f>
        <v>4791.666666666666</v>
      </c>
      <c r="I24" s="36">
        <f>IFERROR(Calculations!$P14/12,"")</f>
        <v>4791.666666666666</v>
      </c>
      <c r="J24" s="36">
        <f>IFERROR(Calculations!$P14/12,"")</f>
        <v>4791.666666666666</v>
      </c>
      <c r="K24" s="36">
        <f>IFERROR(Calculations!$P14/12,"")</f>
        <v>4791.666666666666</v>
      </c>
      <c r="L24" s="36">
        <f>IFERROR(Calculations!$P14/12,"")</f>
        <v>4791.666666666666</v>
      </c>
      <c r="M24" s="36">
        <f>IFERROR(Calculations!$P14/12,"")</f>
        <v>4791.666666666666</v>
      </c>
      <c r="N24" s="36">
        <f>IFERROR(Calculations!$P14/12,"")</f>
        <v>4791.666666666666</v>
      </c>
      <c r="O24" s="36">
        <f>IFERROR(Calculations!$P14/12,"")</f>
        <v>4791.666666666666</v>
      </c>
      <c r="P24" s="36">
        <f>IFERROR(Calculations!$P14/12,"")</f>
        <v>4791.666666666666</v>
      </c>
      <c r="Q24" s="36">
        <f>IFERROR(Calculations!$P14/12,"")</f>
        <v>4791.666666666666</v>
      </c>
      <c r="R24" s="36">
        <f>IFERROR(Calculations!$P14/12,"")</f>
        <v>4791.666666666666</v>
      </c>
      <c r="S24" s="36">
        <f>IFERROR(Calculations!$P14/12,"")</f>
        <v>4791.666666666666</v>
      </c>
      <c r="T24" s="36">
        <f>IFERROR(Calculations!$P14/12,"")</f>
        <v>4791.666666666666</v>
      </c>
      <c r="U24" s="36">
        <f>IFERROR(Calculations!$P14/12,"")</f>
        <v>4791.666666666666</v>
      </c>
      <c r="V24" s="36">
        <f>IFERROR(Calculations!$P14/12,"")</f>
        <v>4791.666666666666</v>
      </c>
      <c r="W24" s="36">
        <f>IFERROR(Calculations!$P14/12,"")</f>
        <v>4791.666666666666</v>
      </c>
      <c r="X24" s="36">
        <f>IFERROR(Calculations!$P14/12,"")</f>
        <v>4791.666666666666</v>
      </c>
      <c r="Y24" s="36">
        <f>IFERROR(Calculations!$P14/12,"")</f>
        <v>4791.666666666666</v>
      </c>
      <c r="Z24" s="36">
        <f>SUMIF($B$13:$Y$13,"Yes",B24:Y24)</f>
        <v>62291.66666666664</v>
      </c>
      <c r="AA24" s="36">
        <f>SUM(B24:M24)</f>
        <v>57499.99999999998</v>
      </c>
      <c r="AB24" s="46">
        <f>SUM(B24:Y24)</f>
        <v>115000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8984.375</v>
      </c>
      <c r="C25" s="36">
        <f>IFERROR(Calculations!$P15/12,"")</f>
        <v>8984.375</v>
      </c>
      <c r="D25" s="36">
        <f>IFERROR(Calculations!$P15/12,"")</f>
        <v>8984.375</v>
      </c>
      <c r="E25" s="36">
        <f>IFERROR(Calculations!$P15/12,"")</f>
        <v>8984.375</v>
      </c>
      <c r="F25" s="36">
        <f>IFERROR(Calculations!$P15/12,"")</f>
        <v>8984.375</v>
      </c>
      <c r="G25" s="36">
        <f>IFERROR(Calculations!$P15/12,"")</f>
        <v>8984.375</v>
      </c>
      <c r="H25" s="36">
        <f>IFERROR(Calculations!$P15/12,"")</f>
        <v>8984.375</v>
      </c>
      <c r="I25" s="36">
        <f>IFERROR(Calculations!$P15/12,"")</f>
        <v>8984.375</v>
      </c>
      <c r="J25" s="36">
        <f>IFERROR(Calculations!$P15/12,"")</f>
        <v>8984.375</v>
      </c>
      <c r="K25" s="36">
        <f>IFERROR(Calculations!$P15/12,"")</f>
        <v>8984.375</v>
      </c>
      <c r="L25" s="36">
        <f>IFERROR(Calculations!$P15/12,"")</f>
        <v>8984.375</v>
      </c>
      <c r="M25" s="36">
        <f>IFERROR(Calculations!$P15/12,"")</f>
        <v>8984.375</v>
      </c>
      <c r="N25" s="36">
        <f>IFERROR(Calculations!$P15/12,"")</f>
        <v>8984.375</v>
      </c>
      <c r="O25" s="36">
        <f>IFERROR(Calculations!$P15/12,"")</f>
        <v>8984.375</v>
      </c>
      <c r="P25" s="36">
        <f>IFERROR(Calculations!$P15/12,"")</f>
        <v>8984.375</v>
      </c>
      <c r="Q25" s="36">
        <f>IFERROR(Calculations!$P15/12,"")</f>
        <v>8984.375</v>
      </c>
      <c r="R25" s="36">
        <f>IFERROR(Calculations!$P15/12,"")</f>
        <v>8984.375</v>
      </c>
      <c r="S25" s="36">
        <f>IFERROR(Calculations!$P15/12,"")</f>
        <v>8984.375</v>
      </c>
      <c r="T25" s="36">
        <f>IFERROR(Calculations!$P15/12,"")</f>
        <v>8984.375</v>
      </c>
      <c r="U25" s="36">
        <f>IFERROR(Calculations!$P15/12,"")</f>
        <v>8984.375</v>
      </c>
      <c r="V25" s="36">
        <f>IFERROR(Calculations!$P15/12,"")</f>
        <v>8984.375</v>
      </c>
      <c r="W25" s="36">
        <f>IFERROR(Calculations!$P15/12,"")</f>
        <v>8984.375</v>
      </c>
      <c r="X25" s="36">
        <f>IFERROR(Calculations!$P15/12,"")</f>
        <v>8984.375</v>
      </c>
      <c r="Y25" s="36">
        <f>IFERROR(Calculations!$P15/12,"")</f>
        <v>8984.375</v>
      </c>
      <c r="Z25" s="36">
        <f>SUMIF($B$13:$Y$13,"Yes",B25:Y25)</f>
        <v>116796.875</v>
      </c>
      <c r="AA25" s="36">
        <f>SUM(B25:M25)</f>
        <v>107812.5</v>
      </c>
      <c r="AB25" s="46">
        <f>SUM(B25:Y25)</f>
        <v>215625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23000</v>
      </c>
      <c r="C26" s="36">
        <f>IFERROR(Calculations!$P16/12,"")</f>
        <v>23000</v>
      </c>
      <c r="D26" s="36">
        <f>IFERROR(Calculations!$P16/12,"")</f>
        <v>23000</v>
      </c>
      <c r="E26" s="36">
        <f>IFERROR(Calculations!$P16/12,"")</f>
        <v>23000</v>
      </c>
      <c r="F26" s="36">
        <f>IFERROR(Calculations!$P16/12,"")</f>
        <v>23000</v>
      </c>
      <c r="G26" s="36">
        <f>IFERROR(Calculations!$P16/12,"")</f>
        <v>23000</v>
      </c>
      <c r="H26" s="36">
        <f>IFERROR(Calculations!$P16/12,"")</f>
        <v>23000</v>
      </c>
      <c r="I26" s="36">
        <f>IFERROR(Calculations!$P16/12,"")</f>
        <v>23000</v>
      </c>
      <c r="J26" s="36">
        <f>IFERROR(Calculations!$P16/12,"")</f>
        <v>23000</v>
      </c>
      <c r="K26" s="36">
        <f>IFERROR(Calculations!$P16/12,"")</f>
        <v>23000</v>
      </c>
      <c r="L26" s="36">
        <f>IFERROR(Calculations!$P16/12,"")</f>
        <v>23000</v>
      </c>
      <c r="M26" s="36">
        <f>IFERROR(Calculations!$P16/12,"")</f>
        <v>23000</v>
      </c>
      <c r="N26" s="36">
        <f>IFERROR(Calculations!$P16/12,"")</f>
        <v>23000</v>
      </c>
      <c r="O26" s="36">
        <f>IFERROR(Calculations!$P16/12,"")</f>
        <v>23000</v>
      </c>
      <c r="P26" s="36">
        <f>IFERROR(Calculations!$P16/12,"")</f>
        <v>23000</v>
      </c>
      <c r="Q26" s="36">
        <f>IFERROR(Calculations!$P16/12,"")</f>
        <v>23000</v>
      </c>
      <c r="R26" s="36">
        <f>IFERROR(Calculations!$P16/12,"")</f>
        <v>23000</v>
      </c>
      <c r="S26" s="36">
        <f>IFERROR(Calculations!$P16/12,"")</f>
        <v>23000</v>
      </c>
      <c r="T26" s="36">
        <f>IFERROR(Calculations!$P16/12,"")</f>
        <v>23000</v>
      </c>
      <c r="U26" s="36">
        <f>IFERROR(Calculations!$P16/12,"")</f>
        <v>23000</v>
      </c>
      <c r="V26" s="36">
        <f>IFERROR(Calculations!$P16/12,"")</f>
        <v>23000</v>
      </c>
      <c r="W26" s="36">
        <f>IFERROR(Calculations!$P16/12,"")</f>
        <v>23000</v>
      </c>
      <c r="X26" s="36">
        <f>IFERROR(Calculations!$P16/12,"")</f>
        <v>23000</v>
      </c>
      <c r="Y26" s="36">
        <f>IFERROR(Calculations!$P16/12,"")</f>
        <v>23000</v>
      </c>
      <c r="Z26" s="36">
        <f>SUMIF($B$13:$Y$13,"Yes",B26:Y26)</f>
        <v>299000</v>
      </c>
      <c r="AA26" s="36">
        <f>SUM(B26:M26)</f>
        <v>276000</v>
      </c>
      <c r="AB26" s="46">
        <f>SUM(B26:Y26)</f>
        <v>552000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828000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828000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86776.04166666666</v>
      </c>
      <c r="C30" s="19">
        <f>SUM(C18:C29)</f>
        <v>86776.04166666666</v>
      </c>
      <c r="D30" s="19">
        <f>SUM(D18:D29)</f>
        <v>86776.04166666666</v>
      </c>
      <c r="E30" s="19">
        <f>SUM(E18:E29)</f>
        <v>86776.04166666666</v>
      </c>
      <c r="F30" s="19">
        <f>SUM(F18:F29)</f>
        <v>86776.04166666666</v>
      </c>
      <c r="G30" s="19">
        <f>SUM(G18:G29)</f>
        <v>86776.04166666666</v>
      </c>
      <c r="H30" s="19">
        <f>SUM(H18:H29)</f>
        <v>86776.04166666666</v>
      </c>
      <c r="I30" s="19">
        <f>SUM(I18:I29)</f>
        <v>86776.04166666666</v>
      </c>
      <c r="J30" s="19">
        <f>SUM(J18:J29)</f>
        <v>86776.04166666666</v>
      </c>
      <c r="K30" s="19">
        <f>SUM(K18:K29)</f>
        <v>86776.04166666666</v>
      </c>
      <c r="L30" s="19">
        <f>SUM(L18:L29)</f>
        <v>86776.04166666666</v>
      </c>
      <c r="M30" s="19">
        <f>SUM(M18:M29)</f>
        <v>86776.04166666666</v>
      </c>
      <c r="N30" s="19">
        <f>SUM(N18:N29)</f>
        <v>86776.04166666666</v>
      </c>
      <c r="O30" s="19">
        <f>SUM(O18:O29)</f>
        <v>86776.04166666666</v>
      </c>
      <c r="P30" s="19">
        <f>SUM(P18:P29)</f>
        <v>86776.04166666666</v>
      </c>
      <c r="Q30" s="19">
        <f>SUM(Q18:Q29)</f>
        <v>86776.04166666666</v>
      </c>
      <c r="R30" s="19">
        <f>SUM(R18:R29)</f>
        <v>86776.04166666666</v>
      </c>
      <c r="S30" s="19">
        <f>SUM(S18:S29)</f>
        <v>86776.04166666666</v>
      </c>
      <c r="T30" s="19">
        <f>SUM(T18:T29)</f>
        <v>914776.0416666666</v>
      </c>
      <c r="U30" s="19">
        <f>SUM(U18:U29)</f>
        <v>86776.04166666666</v>
      </c>
      <c r="V30" s="19">
        <f>SUM(V18:V29)</f>
        <v>86776.04166666666</v>
      </c>
      <c r="W30" s="19">
        <f>SUM(W18:W29)</f>
        <v>86776.04166666666</v>
      </c>
      <c r="X30" s="19">
        <f>SUM(X18:X29)</f>
        <v>86776.04166666666</v>
      </c>
      <c r="Y30" s="19">
        <f>SUM(Y18:Y29)</f>
        <v>86776.04166666666</v>
      </c>
      <c r="Z30" s="19">
        <f>SUMIF($B$13:$Y$13,"Yes",B30:Y30)</f>
        <v>1128088.541666666</v>
      </c>
      <c r="AA30" s="19">
        <f>SUM(B30:M30)</f>
        <v>1041312.5</v>
      </c>
      <c r="AB30" s="19">
        <f>SUM(B30:Y30)</f>
        <v>2910624.999999999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30416.66666666667</v>
      </c>
      <c r="C74" s="46">
        <f>SUM(Calculations!$Q$14:$Q$16)/12</f>
        <v>30416.66666666667</v>
      </c>
      <c r="D74" s="46">
        <f>SUM(Calculations!$Q$14:$Q$16)/12</f>
        <v>30416.66666666667</v>
      </c>
      <c r="E74" s="46">
        <f>SUM(Calculations!$Q$14:$Q$16)/12</f>
        <v>30416.66666666667</v>
      </c>
      <c r="F74" s="46">
        <f>SUM(Calculations!$Q$14:$Q$16)/12</f>
        <v>30416.66666666667</v>
      </c>
      <c r="G74" s="46">
        <f>SUM(Calculations!$Q$14:$Q$16)/12</f>
        <v>30416.66666666667</v>
      </c>
      <c r="H74" s="46">
        <f>SUM(Calculations!$Q$14:$Q$16)/12</f>
        <v>30416.66666666667</v>
      </c>
      <c r="I74" s="46">
        <f>SUM(Calculations!$Q$14:$Q$16)/12</f>
        <v>30416.66666666667</v>
      </c>
      <c r="J74" s="46">
        <f>SUM(Calculations!$Q$14:$Q$16)/12</f>
        <v>30416.66666666667</v>
      </c>
      <c r="K74" s="46">
        <f>SUM(Calculations!$Q$14:$Q$16)/12</f>
        <v>30416.66666666667</v>
      </c>
      <c r="L74" s="46">
        <f>SUM(Calculations!$Q$14:$Q$16)/12</f>
        <v>30416.66666666667</v>
      </c>
      <c r="M74" s="46">
        <f>SUM(Calculations!$Q$14:$Q$16)/12</f>
        <v>30416.66666666667</v>
      </c>
      <c r="N74" s="46">
        <f>SUM(Calculations!$Q$14:$Q$16)/12</f>
        <v>30416.66666666667</v>
      </c>
      <c r="O74" s="46">
        <f>SUM(Calculations!$Q$14:$Q$16)/12</f>
        <v>30416.66666666667</v>
      </c>
      <c r="P74" s="46">
        <f>SUM(Calculations!$Q$14:$Q$16)/12</f>
        <v>30416.66666666667</v>
      </c>
      <c r="Q74" s="46">
        <f>SUM(Calculations!$Q$14:$Q$16)/12</f>
        <v>30416.66666666667</v>
      </c>
      <c r="R74" s="46">
        <f>SUM(Calculations!$Q$14:$Q$16)/12</f>
        <v>30416.66666666667</v>
      </c>
      <c r="S74" s="46">
        <f>SUM(Calculations!$Q$14:$Q$16)/12</f>
        <v>30416.66666666667</v>
      </c>
      <c r="T74" s="46">
        <f>SUM(Calculations!$Q$14:$Q$16)/12</f>
        <v>30416.66666666667</v>
      </c>
      <c r="U74" s="46">
        <f>SUM(Calculations!$Q$14:$Q$16)/12</f>
        <v>30416.66666666667</v>
      </c>
      <c r="V74" s="46">
        <f>SUM(Calculations!$Q$14:$Q$16)/12</f>
        <v>30416.66666666667</v>
      </c>
      <c r="W74" s="46">
        <f>SUM(Calculations!$Q$14:$Q$16)/12</f>
        <v>30416.66666666667</v>
      </c>
      <c r="X74" s="46">
        <f>SUM(Calculations!$Q$14:$Q$16)/12</f>
        <v>30416.66666666667</v>
      </c>
      <c r="Y74" s="46">
        <f>SUM(Calculations!$Q$14:$Q$16)/12</f>
        <v>30416.66666666667</v>
      </c>
      <c r="Z74" s="46">
        <f>SUMIF($B$13:$Y$13,"Yes",B74:Y74)</f>
        <v>395416.6666666667</v>
      </c>
      <c r="AA74" s="46">
        <f>SUM(B74:M74)</f>
        <v>365000.0000000001</v>
      </c>
      <c r="AB74" s="46">
        <f>SUM(B74:Y74)</f>
        <v>729999.9999999999</v>
      </c>
    </row>
    <row r="75" spans="1:30">
      <c r="A75" s="16" t="s">
        <v>47</v>
      </c>
      <c r="B75" s="46">
        <f>SUM(Calculations!$R$14:$R$16)/12</f>
        <v>3166.666666666667</v>
      </c>
      <c r="C75" s="46">
        <f>SUM(Calculations!$R$14:$R$16)/12</f>
        <v>3166.666666666667</v>
      </c>
      <c r="D75" s="46">
        <f>SUM(Calculations!$R$14:$R$16)/12</f>
        <v>3166.666666666667</v>
      </c>
      <c r="E75" s="46">
        <f>SUM(Calculations!$R$14:$R$16)/12</f>
        <v>3166.666666666667</v>
      </c>
      <c r="F75" s="46">
        <f>SUM(Calculations!$R$14:$R$16)/12</f>
        <v>3166.666666666667</v>
      </c>
      <c r="G75" s="46">
        <f>SUM(Calculations!$R$14:$R$16)/12</f>
        <v>3166.666666666667</v>
      </c>
      <c r="H75" s="46">
        <f>SUM(Calculations!$R$14:$R$16)/12</f>
        <v>3166.666666666667</v>
      </c>
      <c r="I75" s="46">
        <f>SUM(Calculations!$R$14:$R$16)/12</f>
        <v>3166.666666666667</v>
      </c>
      <c r="J75" s="46">
        <f>SUM(Calculations!$R$14:$R$16)/12</f>
        <v>3166.666666666667</v>
      </c>
      <c r="K75" s="46">
        <f>SUM(Calculations!$R$14:$R$16)/12</f>
        <v>3166.666666666667</v>
      </c>
      <c r="L75" s="46">
        <f>SUM(Calculations!$R$14:$R$16)/12</f>
        <v>3166.666666666667</v>
      </c>
      <c r="M75" s="46">
        <f>SUM(Calculations!$R$14:$R$16)/12</f>
        <v>3166.666666666667</v>
      </c>
      <c r="N75" s="46">
        <f>SUM(Calculations!$R$14:$R$16)/12</f>
        <v>3166.666666666667</v>
      </c>
      <c r="O75" s="46">
        <f>SUM(Calculations!$R$14:$R$16)/12</f>
        <v>3166.666666666667</v>
      </c>
      <c r="P75" s="46">
        <f>SUM(Calculations!$R$14:$R$16)/12</f>
        <v>3166.666666666667</v>
      </c>
      <c r="Q75" s="46">
        <f>SUM(Calculations!$R$14:$R$16)/12</f>
        <v>3166.666666666667</v>
      </c>
      <c r="R75" s="46">
        <f>SUM(Calculations!$R$14:$R$16)/12</f>
        <v>3166.666666666667</v>
      </c>
      <c r="S75" s="46">
        <f>SUM(Calculations!$R$14:$R$16)/12</f>
        <v>3166.666666666667</v>
      </c>
      <c r="T75" s="46">
        <f>SUM(Calculations!$R$14:$R$16)/12</f>
        <v>3166.666666666667</v>
      </c>
      <c r="U75" s="46">
        <f>SUM(Calculations!$R$14:$R$16)/12</f>
        <v>3166.666666666667</v>
      </c>
      <c r="V75" s="46">
        <f>SUM(Calculations!$R$14:$R$16)/12</f>
        <v>3166.666666666667</v>
      </c>
      <c r="W75" s="46">
        <f>SUM(Calculations!$R$14:$R$16)/12</f>
        <v>3166.666666666667</v>
      </c>
      <c r="X75" s="46">
        <f>SUM(Calculations!$R$14:$R$16)/12</f>
        <v>3166.666666666667</v>
      </c>
      <c r="Y75" s="46">
        <f>SUM(Calculations!$R$14:$R$16)/12</f>
        <v>3166.666666666667</v>
      </c>
      <c r="Z75" s="46">
        <f>SUMIF($B$13:$Y$13,"Yes",B75:Y75)</f>
        <v>41166.66666666666</v>
      </c>
      <c r="AA75" s="46">
        <f>SUM(B75:M75)</f>
        <v>38000</v>
      </c>
      <c r="AB75" s="46">
        <f>SUM(B75:Y75)</f>
        <v>76000</v>
      </c>
    </row>
    <row r="76" spans="1:30">
      <c r="A76" s="16" t="s">
        <v>48</v>
      </c>
      <c r="B76" s="46">
        <f>SUM(Calculations!$S$14:$S$16)/12</f>
        <v>4250</v>
      </c>
      <c r="C76" s="46">
        <f>SUM(Calculations!$S$14:$S$16)/12</f>
        <v>4250</v>
      </c>
      <c r="D76" s="46">
        <f>SUM(Calculations!$S$14:$S$16)/12</f>
        <v>4250</v>
      </c>
      <c r="E76" s="46">
        <f>SUM(Calculations!$S$14:$S$16)/12</f>
        <v>4250</v>
      </c>
      <c r="F76" s="46">
        <f>SUM(Calculations!$S$14:$S$16)/12</f>
        <v>4250</v>
      </c>
      <c r="G76" s="46">
        <f>SUM(Calculations!$S$14:$S$16)/12</f>
        <v>4250</v>
      </c>
      <c r="H76" s="46">
        <f>SUM(Calculations!$S$14:$S$16)/12</f>
        <v>4250</v>
      </c>
      <c r="I76" s="46">
        <f>SUM(Calculations!$S$14:$S$16)/12</f>
        <v>4250</v>
      </c>
      <c r="J76" s="46">
        <f>SUM(Calculations!$S$14:$S$16)/12</f>
        <v>4250</v>
      </c>
      <c r="K76" s="46">
        <f>SUM(Calculations!$S$14:$S$16)/12</f>
        <v>4250</v>
      </c>
      <c r="L76" s="46">
        <f>SUM(Calculations!$S$14:$S$16)/12</f>
        <v>4250</v>
      </c>
      <c r="M76" s="46">
        <f>SUM(Calculations!$S$14:$S$16)/12</f>
        <v>4250</v>
      </c>
      <c r="N76" s="46">
        <f>SUM(Calculations!$S$14:$S$16)/12</f>
        <v>4250</v>
      </c>
      <c r="O76" s="46">
        <f>SUM(Calculations!$S$14:$S$16)/12</f>
        <v>4250</v>
      </c>
      <c r="P76" s="46">
        <f>SUM(Calculations!$S$14:$S$16)/12</f>
        <v>4250</v>
      </c>
      <c r="Q76" s="46">
        <f>SUM(Calculations!$S$14:$S$16)/12</f>
        <v>4250</v>
      </c>
      <c r="R76" s="46">
        <f>SUM(Calculations!$S$14:$S$16)/12</f>
        <v>4250</v>
      </c>
      <c r="S76" s="46">
        <f>SUM(Calculations!$S$14:$S$16)/12</f>
        <v>4250</v>
      </c>
      <c r="T76" s="46">
        <f>SUM(Calculations!$S$14:$S$16)/12</f>
        <v>4250</v>
      </c>
      <c r="U76" s="46">
        <f>SUM(Calculations!$S$14:$S$16)/12</f>
        <v>4250</v>
      </c>
      <c r="V76" s="46">
        <f>SUM(Calculations!$S$14:$S$16)/12</f>
        <v>4250</v>
      </c>
      <c r="W76" s="46">
        <f>SUM(Calculations!$S$14:$S$16)/12</f>
        <v>4250</v>
      </c>
      <c r="X76" s="46">
        <f>SUM(Calculations!$S$14:$S$16)/12</f>
        <v>4250</v>
      </c>
      <c r="Y76" s="46">
        <f>SUM(Calculations!$S$14:$S$16)/12</f>
        <v>4250</v>
      </c>
      <c r="Z76" s="46">
        <f>SUMIF($B$13:$Y$13,"Yes",B76:Y76)</f>
        <v>55250</v>
      </c>
      <c r="AA76" s="46">
        <f>SUM(B76:M76)</f>
        <v>51000</v>
      </c>
      <c r="AB76" s="46">
        <f>SUM(B76:Y76)</f>
        <v>102000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19577.08333333333</v>
      </c>
      <c r="C81" s="46">
        <f>(SUM($AA$18:$AA$29)-SUM($AA$36,$AA$42,$AA$48,$AA$54,$AA$60,$AA$66,$AA$72:$AA$79))*Parameters!$B$37/12</f>
        <v>19577.08333333333</v>
      </c>
      <c r="D81" s="46">
        <f>(SUM($AA$18:$AA$29)-SUM($AA$36,$AA$42,$AA$48,$AA$54,$AA$60,$AA$66,$AA$72:$AA$79))*Parameters!$B$37/12</f>
        <v>19577.08333333333</v>
      </c>
      <c r="E81" s="46">
        <f>(SUM($AA$18:$AA$29)-SUM($AA$36,$AA$42,$AA$48,$AA$54,$AA$60,$AA$66,$AA$72:$AA$79))*Parameters!$B$37/12</f>
        <v>19577.08333333333</v>
      </c>
      <c r="F81" s="46">
        <f>(SUM($AA$18:$AA$29)-SUM($AA$36,$AA$42,$AA$48,$AA$54,$AA$60,$AA$66,$AA$72:$AA$79))*Parameters!$B$37/12</f>
        <v>19577.08333333333</v>
      </c>
      <c r="G81" s="46">
        <f>(SUM($AA$18:$AA$29)-SUM($AA$36,$AA$42,$AA$48,$AA$54,$AA$60,$AA$66,$AA$72:$AA$79))*Parameters!$B$37/12</f>
        <v>19577.08333333333</v>
      </c>
      <c r="H81" s="46">
        <f>(SUM($AA$18:$AA$29)-SUM($AA$36,$AA$42,$AA$48,$AA$54,$AA$60,$AA$66,$AA$72:$AA$79))*Parameters!$B$37/12</f>
        <v>19577.08333333333</v>
      </c>
      <c r="I81" s="46">
        <f>(SUM($AA$18:$AA$29)-SUM($AA$36,$AA$42,$AA$48,$AA$54,$AA$60,$AA$66,$AA$72:$AA$79))*Parameters!$B$37/12</f>
        <v>19577.08333333333</v>
      </c>
      <c r="J81" s="46">
        <f>(SUM($AA$18:$AA$29)-SUM($AA$36,$AA$42,$AA$48,$AA$54,$AA$60,$AA$66,$AA$72:$AA$79))*Parameters!$B$37/12</f>
        <v>19577.08333333333</v>
      </c>
      <c r="K81" s="46">
        <f>(SUM($AA$18:$AA$29)-SUM($AA$36,$AA$42,$AA$48,$AA$54,$AA$60,$AA$66,$AA$72:$AA$79))*Parameters!$B$37/12</f>
        <v>19577.08333333333</v>
      </c>
      <c r="L81" s="46">
        <f>(SUM($AA$18:$AA$29)-SUM($AA$36,$AA$42,$AA$48,$AA$54,$AA$60,$AA$66,$AA$72:$AA$79))*Parameters!$B$37/12</f>
        <v>19577.08333333333</v>
      </c>
      <c r="M81" s="46">
        <f>(SUM($AA$18:$AA$29)-SUM($AA$36,$AA$42,$AA$48,$AA$54,$AA$60,$AA$66,$AA$72:$AA$79))*Parameters!$B$37/12</f>
        <v>19577.08333333333</v>
      </c>
      <c r="N81" s="46">
        <f>(SUM($AA$18:$AA$29)-SUM($AA$36,$AA$42,$AA$48,$AA$54,$AA$60,$AA$66,$AA$72:$AA$79))*Parameters!$B$37/12</f>
        <v>19577.08333333333</v>
      </c>
      <c r="O81" s="46">
        <f>(SUM($AA$18:$AA$29)-SUM($AA$36,$AA$42,$AA$48,$AA$54,$AA$60,$AA$66,$AA$72:$AA$79))*Parameters!$B$37/12</f>
        <v>19577.08333333333</v>
      </c>
      <c r="P81" s="46">
        <f>(SUM($AA$18:$AA$29)-SUM($AA$36,$AA$42,$AA$48,$AA$54,$AA$60,$AA$66,$AA$72:$AA$79))*Parameters!$B$37/12</f>
        <v>19577.08333333333</v>
      </c>
      <c r="Q81" s="46">
        <f>(SUM($AA$18:$AA$29)-SUM($AA$36,$AA$42,$AA$48,$AA$54,$AA$60,$AA$66,$AA$72:$AA$79))*Parameters!$B$37/12</f>
        <v>19577.08333333333</v>
      </c>
      <c r="R81" s="46">
        <f>(SUM($AA$18:$AA$29)-SUM($AA$36,$AA$42,$AA$48,$AA$54,$AA$60,$AA$66,$AA$72:$AA$79))*Parameters!$B$37/12</f>
        <v>19577.08333333333</v>
      </c>
      <c r="S81" s="46">
        <f>(SUM($AA$18:$AA$29)-SUM($AA$36,$AA$42,$AA$48,$AA$54,$AA$60,$AA$66,$AA$72:$AA$79))*Parameters!$B$37/12</f>
        <v>19577.08333333333</v>
      </c>
      <c r="T81" s="46">
        <f>(SUM($AA$18:$AA$29)-SUM($AA$36,$AA$42,$AA$48,$AA$54,$AA$60,$AA$66,$AA$72:$AA$79))*Parameters!$B$37/12</f>
        <v>19577.08333333333</v>
      </c>
      <c r="U81" s="46">
        <f>(SUM($AA$18:$AA$29)-SUM($AA$36,$AA$42,$AA$48,$AA$54,$AA$60,$AA$66,$AA$72:$AA$79))*Parameters!$B$37/12</f>
        <v>19577.08333333333</v>
      </c>
      <c r="V81" s="46">
        <f>(SUM($AA$18:$AA$29)-SUM($AA$36,$AA$42,$AA$48,$AA$54,$AA$60,$AA$66,$AA$72:$AA$79))*Parameters!$B$37/12</f>
        <v>19577.08333333333</v>
      </c>
      <c r="W81" s="46">
        <f>(SUM($AA$18:$AA$29)-SUM($AA$36,$AA$42,$AA$48,$AA$54,$AA$60,$AA$66,$AA$72:$AA$79))*Parameters!$B$37/12</f>
        <v>19577.08333333333</v>
      </c>
      <c r="X81" s="46">
        <f>(SUM($AA$18:$AA$29)-SUM($AA$36,$AA$42,$AA$48,$AA$54,$AA$60,$AA$66,$AA$72:$AA$79))*Parameters!$B$37/12</f>
        <v>19577.08333333333</v>
      </c>
      <c r="Y81" s="46">
        <f>(SUM($AA$18:$AA$29)-SUM($AA$36,$AA$42,$AA$48,$AA$54,$AA$60,$AA$66,$AA$72:$AA$79))*Parameters!$B$37/12</f>
        <v>19577.08333333333</v>
      </c>
      <c r="Z81" s="46">
        <f>SUMIF($B$13:$Y$13,"Yes",B81:Y81)</f>
        <v>254502.0833333334</v>
      </c>
      <c r="AA81" s="46">
        <f>SUM(B81:M81)</f>
        <v>234925</v>
      </c>
      <c r="AB81" s="46">
        <f>SUM(B81:Y81)</f>
        <v>469849.9999999998</v>
      </c>
    </row>
    <row r="82" spans="1:30">
      <c r="A82" s="16" t="s">
        <v>52</v>
      </c>
      <c r="B82" s="46">
        <f>SUM(B83:B87)</f>
        <v>9203.975535168196</v>
      </c>
      <c r="C82" s="46">
        <f>SUM(C83:C87)</f>
        <v>9203.975535168196</v>
      </c>
      <c r="D82" s="46">
        <f>SUM(D83:D87)</f>
        <v>6752.048929663609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25160</v>
      </c>
      <c r="AA82" s="46">
        <f>SUM(B82:M82)</f>
        <v>25160</v>
      </c>
      <c r="AB82" s="46">
        <f>SUM(B82:Y82)</f>
        <v>25160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9203.975535168196</v>
      </c>
      <c r="C83" s="46">
        <f>IF(Calculations!$E23&gt;COUNT(Output!$B$35:C$35),Calculations!$B23,IF(Calculations!$E23=COUNT(Output!$B$35:C$35),Inputs!$B56-Calculations!$C23*(Calculations!$E23-1)+Calculations!$D23,0))</f>
        <v>9203.975535168196</v>
      </c>
      <c r="D83" s="46">
        <f>IF(Calculations!$E23&gt;COUNT(Output!$B$35:D$35),Calculations!$B23,IF(Calculations!$E23=COUNT(Output!$B$35:D$35),Inputs!$B56-Calculations!$C23*(Calculations!$E23-1)+Calculations!$D23,0))</f>
        <v>6752.048929663609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25160</v>
      </c>
      <c r="AA83" s="46">
        <f>SUM(B83:M83)</f>
        <v>25160</v>
      </c>
      <c r="AB83" s="46">
        <f>SUM(B83:Y83)</f>
        <v>25160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66614.39220183487</v>
      </c>
      <c r="C88" s="19">
        <f>SUM(C72:C82,C66,C60,C54,C48,C42,C36)</f>
        <v>66614.39220183487</v>
      </c>
      <c r="D88" s="19">
        <f>SUM(D72:D82,D66,D60,D54,D48,D42,D36)</f>
        <v>64162.46559633028</v>
      </c>
      <c r="E88" s="19">
        <f>SUM(E72:E82,E66,E60,E54,E48,E42,E36)</f>
        <v>57410.41666666667</v>
      </c>
      <c r="F88" s="19">
        <f>SUM(F72:F82,F66,F60,F54,F48,F42,F36)</f>
        <v>57410.41666666667</v>
      </c>
      <c r="G88" s="19">
        <f>SUM(G72:G82,G66,G60,G54,G48,G42,G36)</f>
        <v>57410.41666666667</v>
      </c>
      <c r="H88" s="19">
        <f>SUM(H72:H82,H66,H60,H54,H48,H42,H36)</f>
        <v>57410.41666666667</v>
      </c>
      <c r="I88" s="19">
        <f>SUM(I72:I82,I66,I60,I54,I48,I42,I36)</f>
        <v>57410.41666666667</v>
      </c>
      <c r="J88" s="19">
        <f>SUM(J72:J82,J66,J60,J54,J48,J42,J36)</f>
        <v>57410.41666666667</v>
      </c>
      <c r="K88" s="19">
        <f>SUM(K72:K82,K66,K60,K54,K48,K42,K36)</f>
        <v>57410.41666666667</v>
      </c>
      <c r="L88" s="19">
        <f>SUM(L72:L82,L66,L60,L54,L48,L42,L36)</f>
        <v>57410.41666666667</v>
      </c>
      <c r="M88" s="19">
        <f>SUM(M72:M82,M66,M60,M54,M48,M42,M36)</f>
        <v>57410.41666666667</v>
      </c>
      <c r="N88" s="19">
        <f>SUM(N72:N82,N66,N60,N54,N48,N42,N36)</f>
        <v>57410.41666666667</v>
      </c>
      <c r="O88" s="19">
        <f>SUM(O72:O82,O66,O60,O54,O48,O42,O36)</f>
        <v>57410.41666666667</v>
      </c>
      <c r="P88" s="19">
        <f>SUM(P72:P82,P66,P60,P54,P48,P42,P36)</f>
        <v>57410.41666666667</v>
      </c>
      <c r="Q88" s="19">
        <f>SUM(Q72:Q82,Q66,Q60,Q54,Q48,Q42,Q36)</f>
        <v>57410.41666666667</v>
      </c>
      <c r="R88" s="19">
        <f>SUM(R72:R82,R66,R60,R54,R48,R42,R36)</f>
        <v>57410.41666666667</v>
      </c>
      <c r="S88" s="19">
        <f>SUM(S72:S82,S66,S60,S54,S48,S42,S36)</f>
        <v>57410.41666666667</v>
      </c>
      <c r="T88" s="19">
        <f>SUM(T72:T82,T66,T60,T54,T48,T42,T36)</f>
        <v>57410.41666666667</v>
      </c>
      <c r="U88" s="19">
        <f>SUM(U72:U82,U66,U60,U54,U48,U42,U36)</f>
        <v>57410.41666666667</v>
      </c>
      <c r="V88" s="19">
        <f>SUM(V72:V82,V66,V60,V54,V48,V42,V36)</f>
        <v>57410.41666666667</v>
      </c>
      <c r="W88" s="19">
        <f>SUM(W72:W82,W66,W60,W54,W48,W42,W36)</f>
        <v>57410.41666666667</v>
      </c>
      <c r="X88" s="19">
        <f>SUM(X72:X82,X66,X60,X54,X48,X42,X36)</f>
        <v>57410.41666666667</v>
      </c>
      <c r="Y88" s="19">
        <f>SUM(Y72:Y82,Y66,Y60,Y54,Y48,Y42,Y36)</f>
        <v>57410.41666666667</v>
      </c>
      <c r="Z88" s="19">
        <f>SUMIF($B$13:$Y$13,"Yes",B88:Y88)</f>
        <v>771495.4166666666</v>
      </c>
      <c r="AA88" s="19">
        <f>SUM(B88:M88)</f>
        <v>714085</v>
      </c>
      <c r="AB88" s="19">
        <f>SUM(B88:Y88)</f>
        <v>1403010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1275000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170000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1575200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19660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119660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30</v>
      </c>
      <c r="D21" s="150">
        <v>11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50000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170000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30000</v>
      </c>
    </row>
    <row r="48" spans="1:48" customHeight="1" ht="30">
      <c r="A48" s="57" t="s">
        <v>130</v>
      </c>
      <c r="B48" s="161">
        <v>100000</v>
      </c>
    </row>
    <row r="49" spans="1:48" customHeight="1" ht="30">
      <c r="A49" s="57" t="s">
        <v>131</v>
      </c>
      <c r="B49" s="161">
        <v>200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19660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144</v>
      </c>
      <c r="C65" s="10" t="s">
        <v>145</v>
      </c>
    </row>
    <row r="66" spans="1:48">
      <c r="A66" s="142" t="s">
        <v>146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146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146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1.15</v>
      </c>
      <c r="H14" s="121">
        <f>IFERROR(IF(B14="meat",INDEX(Parameters!$A$22:$P$29,MATCH(Calculations!A14,Parameters!$A$22:$A$29,0),MATCH(Parameters!$I$22,Parameters!$A$22:$P$22,0))*G14,""),"")</f>
        <v>9.199999999999999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15000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107812.5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30</v>
      </c>
      <c r="E16" s="16">
        <f>Inputs!D21</f>
        <v>11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</v>
      </c>
      <c r="H16" s="122">
        <f>IFERROR(IF(B16="meat",INDEX(Parameters!$A$22:$P$29,MATCH(Calculations!A16,Parameters!$A$22:$A$29,0),MATCH(Parameters!$I$22,Parameters!$A$22:$P$22,0))*G16,""),"")</f>
        <v>120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276000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273750</v>
      </c>
      <c r="R16" s="64">
        <f>IFERROR(D16*INDEX(Parameters!$A$22:$P$29,MATCH(Calculations!$A16,Parameters!$A$22:$A$29,0),MATCH(Parameters!$M$22,Parameters!$A$22:$P$22,0)),"")</f>
        <v>18000</v>
      </c>
      <c r="S16" s="64">
        <f>IFERROR(D16*INDEX(Parameters!$A$22:$P$29,MATCH(Calculations!$A16,Parameters!$A$22:$A$29,0),MATCH(Parameters!$N$22,Parameters!$A$22:$P$22,0)),"")</f>
        <v>21000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1.2</v>
      </c>
      <c r="H17" s="123">
        <f>IFERROR(IF(B17="meat",INDEX(Parameters!$A$22:$P$29,MATCH(Calculations!A17,Parameters!$A$22:$A$29,0),MATCH(Parameters!$I$22,Parameters!$A$22:$P$22,0))*G17,""),"")</f>
        <v>120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828000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100000</v>
      </c>
      <c r="B23" s="75">
        <f>SUM(C23:D23)</f>
        <v>9203.975535168196</v>
      </c>
      <c r="C23" s="75">
        <f>IF(Inputs!B56&gt;0,(Inputs!A56-Inputs!B56)/(DATE(YEAR(Inputs!$B$76),MONTH(Inputs!$B$76),DAY(Inputs!$B$76))-DATE(YEAR(Inputs!C56),MONTH(Inputs!C56),DAY(Inputs!C56)))*30,0)</f>
        <v>7370.642201834862</v>
      </c>
      <c r="D23" s="75">
        <f>IF(Inputs!B56&gt;0,Inputs!A56*0.22/12,0)</f>
        <v>1833.333333333333</v>
      </c>
      <c r="E23" s="75">
        <f>IFERROR(ROUNDUP(Inputs!B56/C23,0),0)</f>
        <v>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42901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152</v>
      </c>
      <c r="G33" s="128">
        <f>IF(Inputs!B79="","",DATE(YEAR(Inputs!B79),MONTH(Inputs!B79),DAY(Inputs!B79)))</f>
        <v>42870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42931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153</v>
      </c>
      <c r="G34" s="128">
        <f>IF(Inputs!B80="","",DATE(YEAR(Inputs!B80),MONTH(Inputs!B80),DAY(Inputs!B80)))</f>
        <v>42901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42962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42993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156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43023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43054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43084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43115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43146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43174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43205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43235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102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102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305</v>
      </c>
      <c r="H52" s="12" t="s">
        <v>125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221</v>
      </c>
      <c r="E53" s="10" t="s">
        <v>180</v>
      </c>
      <c r="F53" s="10" t="s">
        <v>240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158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217</v>
      </c>
      <c r="J76" s="11" t="s">
        <v>339</v>
      </c>
      <c r="K76" s="11" t="s">
        <v>170</v>
      </c>
      <c r="AJ76" s="12"/>
    </row>
    <row r="77" spans="1:36">
      <c r="A77" t="s">
        <v>121</v>
      </c>
      <c r="B77" s="176">
        <v>0</v>
      </c>
      <c r="C77" s="12" t="s">
        <v>340</v>
      </c>
      <c r="E77" s="12" t="s">
        <v>103</v>
      </c>
      <c r="F77" s="12" t="s">
        <v>103</v>
      </c>
      <c r="G77" s="12" t="s">
        <v>341</v>
      </c>
      <c r="H77" s="12" t="s">
        <v>125</v>
      </c>
      <c r="I77" s="12" t="s">
        <v>342</v>
      </c>
      <c r="J77" s="136" t="s">
        <v>343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104</v>
      </c>
      <c r="H78" s="12" t="s">
        <v>306</v>
      </c>
      <c r="I78" s="12" t="s">
        <v>347</v>
      </c>
      <c r="J78" s="70" t="s">
        <v>348</v>
      </c>
      <c r="K78" s="12" t="s">
        <v>103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349</v>
      </c>
      <c r="F79" s="12" t="s">
        <v>350</v>
      </c>
      <c r="G79" s="12" t="s">
        <v>351</v>
      </c>
      <c r="I79" s="12" t="s">
        <v>158</v>
      </c>
      <c r="J79" s="70" t="s">
        <v>352</v>
      </c>
      <c r="K79" s="12" t="s">
        <v>103</v>
      </c>
      <c r="AJ79" s="12"/>
    </row>
    <row r="80" spans="1:36">
      <c r="B80" s="176">
        <v>20</v>
      </c>
      <c r="C80" s="12" t="s">
        <v>353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121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121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