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<sst xmlns="http://schemas.openxmlformats.org/spreadsheetml/2006/main" uniqueCount="366">
  <si>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</si>
  <si>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</si>
  <si>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</si>
  <si>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</si>
  <si>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</si>
  <si>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</si>
  <si>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</si>
  <si>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</si>
  <si>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</si>
  <si>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</si>
  <si>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</si>
  <si>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</si>
  <si>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</si>
  <si>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</si>
  <si>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</si>
  <si>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</si>
  <si>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</si>
  <si>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</si>
  <si>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</si>
  <si>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</si>
  <si>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</si>
  <si>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</si>
  <si>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</si>
  <si>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</si>
  <si>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</si>
  <si>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</si>
  <si>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</si>
  <si>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</si>
  <si>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</si>
  <si>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</si>
  <si>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</si>
  <si>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</si>
  <si>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</si>
  <si>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</si>
  <si>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</si>
  <si>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</si>
  <si>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</si>
  <si>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</si>
  <si>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</si>
  <si>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</si>
  <si>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</si>
  <si>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</si>
  <si>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</si>
  <si>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</si>
  <si>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</si>
  <si>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</si>
  <si>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</si>
  <si>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</si>
  <si>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</si>
  <si>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</si>
  <si>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</si>
  <si>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</si>
  <si>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</si>
  <si>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</si>
  <si>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</si>
  <si>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</si>
  <si>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</si>
  <si>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</si>
  <si>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</si>
  <si>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</si>
  <si>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</si>
  <si>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</si>
  <si>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</si>
  <si>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</si>
  <si>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</si>
  <si>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</si>
  <si>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</si>
  <si>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</si>
  <si>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</si>
  <si>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</si>
  <si>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</si>
  <si>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</si>
  <si>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</si>
  <si>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</si>
  <si>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</si>
  <si>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</si>
  <si>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</si>
  <si>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</si>
  <si>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</si>
  <si>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</si>
  <si>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</si>
  <si>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</si>
  <si>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</si>
  <si>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</si>
  <si>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</si>
  <si>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</si>
  <si>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</si>
  <si>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</si>
  <si>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</si>
  <si>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</si>
  <si>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Shop_certified variety</t>
  </si>
  <si>
    <t>Yes both manure and inorganic</t>
  </si>
  <si>
    <t>No</t>
  </si>
  <si>
    <t>May</t>
  </si>
  <si>
    <t>Beans</t>
  </si>
  <si>
    <t>Shop_common variety</t>
  </si>
  <si>
    <t>Yes</t>
  </si>
  <si>
    <t>Yes without the use of a pump</t>
  </si>
  <si>
    <t>June</t>
  </si>
  <si>
    <t>Tomatoes</t>
  </si>
  <si>
    <t>Cabbages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</si>
  <si>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</si>
  <si>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</si>
  <si>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</si>
  <si>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</si>
  <si>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</si>
  <si>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</si>
  <si>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</si>
  <si>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</si>
  <si>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</si>
  <si>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</si>
  <si>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</si>
  <si>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</si>
  <si>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</si>
  <si>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</si>
  <si>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</si>
  <si>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</si>
  <si>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</si>
  <si>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</si>
  <si>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</si>
  <si>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</si>
  <si>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</si>
  <si>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</si>
  <si>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</si>
  <si>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</si>
  <si>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</si>
  <si>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</si>
  <si>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</si>
  <si>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</si>
  <si>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</si>
  <si>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</si>
  <si>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</si>
  <si>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</si>
  <si>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</si>
  <si>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</si>
  <si>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</si>
  <si>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</si>
  <si>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</si>
  <si>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</si>
  <si>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</si>
  <si>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</si>
  <si>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</si>
  <si>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</si>
  <si>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</si>
  <si>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</si>
  <si>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</si>
  <si>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</si>
  <si>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7/6/2016</t>
  </si>
  <si>
    <t>KCB BANK</t>
  </si>
  <si>
    <t>Mpesa &amp; bank cash flows (from past statements)</t>
  </si>
  <si>
    <t>Cash inflows</t>
  </si>
  <si>
    <t>Cash outflows</t>
  </si>
  <si>
    <t>November</t>
  </si>
  <si>
    <t>December</t>
  </si>
  <si>
    <t>January</t>
  </si>
  <si>
    <t>February</t>
  </si>
  <si>
    <t>March</t>
  </si>
  <si>
    <t>April</t>
  </si>
  <si>
    <t>Loan info</t>
  </si>
  <si>
    <t>Branch ID</t>
  </si>
  <si>
    <t>Submission date</t>
  </si>
  <si>
    <t>2017/5/17</t>
  </si>
  <si>
    <t>Loan terms</t>
  </si>
  <si>
    <t>Expected disbursement date</t>
  </si>
  <si>
    <t>Expected first repayment date</t>
  </si>
  <si>
    <t>2017/6/20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</si>
  <si>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</si>
  <si>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</si>
  <si>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</si>
  <si>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</si>
  <si>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</si>
  <si>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</si>
  <si>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</si>
  <si>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</si>
  <si>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</si>
  <si>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</si>
  <si>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</si>
  <si>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</si>
  <si>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</si>
  <si>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</si>
  <si>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</si>
  <si>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</si>
  <si>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</si>
  <si>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</si>
  <si>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</si>
  <si>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</si>
  <si>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</si>
  <si>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</si>
  <si>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</si>
  <si>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</si>
  <si>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</si>
  <si>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</si>
  <si>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</si>
  <si>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</si>
  <si>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</si>
  <si>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</si>
  <si>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</si>
  <si>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</si>
  <si>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</si>
  <si>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</si>
  <si>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</si>
  <si>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</si>
  <si>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</si>
  <si>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</si>
  <si>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</si>
  <si>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</si>
  <si>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</si>
  <si>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</si>
  <si>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</si>
  <si>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</si>
  <si>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</si>
  <si>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</si>
  <si>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</si>
  <si>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</si>
  <si>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</si>
  <si>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</si>
  <si>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</si>
  <si>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</si>
  <si>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</si>
  <si>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</si>
  <si>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</si>
  <si>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</si>
  <si>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</si>
  <si>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</si>
  <si>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</si>
  <si>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</si>
  <si>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</si>
  <si>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</si>
  <si>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</si>
  <si>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</si>
  <si>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</si>
  <si>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</si>
  <si>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</si>
  <si>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</si>
  <si>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</si>
  <si>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</si>
  <si>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</si>
  <si>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</si>
  <si>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</si>
  <si>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</si>
  <si>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</si>
  <si>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</si>
  <si>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</si>
  <si>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</si>
  <si>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</si>
  <si>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</si>
  <si>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</si>
  <si>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</si>
  <si>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</si>
  <si>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</si>
  <si>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</si>
  <si>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</si>
  <si>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</si>
  <si>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</si>
  <si>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</si>
  <si>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</si>
  <si>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</si>
  <si>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</si>
  <si>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</si>
  <si>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</si>
  <si>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</si>
  <si>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</si>
  <si>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</si>
  <si>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</si>
  <si>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</si>
  <si>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</si>
  <si>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</si>
  <si>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</si>
  <si>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</si>
  <si>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</si>
  <si>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</si>
  <si>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</si>
  <si>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</si>
  <si>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</si>
  <si>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</si>
  <si>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</si>
  <si>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</si>
  <si>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</si>
  <si>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</si>
  <si>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</si>
  <si>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</si>
  <si>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</si>
  <si>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</si>
  <si>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</si>
  <si>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</si>
  <si>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</si>
  <si>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</si>
  <si>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</si>
  <si>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</si>
  <si>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</si>
  <si>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</si>
  <si>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</si>
  <si>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</si>
  <si>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</si>
  <si>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</si>
  <si>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</si>
  <si>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</si>
  <si>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</si>
  <si>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</si>
  <si>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</si>
  <si>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</si>
  <si>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</si>
  <si>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</si>
  <si>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</si>
  <si>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</si>
  <si>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</si>
  <si>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</si>
  <si>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</si>
  <si>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</si>
  <si>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</si>
  <si>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</si>
  <si>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</si>
  <si>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</si>
  <si>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</si>
  <si>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</si>
  <si>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</si>
  <si>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</si>
  <si>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</si>
  <si>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</si>
  <si>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</si>
  <si>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</si>
  <si>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</si>
  <si>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</si>
  <si>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</si>
  <si>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</si>
  <si>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</si>
  <si>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</si>
  <si>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</si>
  <si>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</si>
  <si>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</si>
  <si>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</si>
  <si>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</si>
  <si>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</si>
  <si>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</si>
  <si>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</si>
  <si>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</si>
  <si>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</si>
  <si>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</si>
  <si>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</si>
  <si>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</si>
  <si>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</si>
  <si>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</si>
  <si>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</si>
  <si>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</si>
  <si>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</si>
  <si>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</si>
  <si>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</si>
  <si>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</si>
  <si>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</si>
  <si>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</si>
  <si>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</si>
  <si>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</si>
  <si>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</si>
  <si>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</si>
  <si>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</si>
  <si>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</si>
  <si>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</si>
  <si>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</si>
  <si>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</si>
  <si>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</si>
  <si>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</si>
  <si>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NGO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</si>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</sst>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Beans, Tomatoes, Cabbages,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0.1736942710726749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0.05572755417956656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9833.333333333334</v>
      </c>
    </row>
    <row r="17" spans="1:7">
      <c r="B17" s="1" t="s">
        <v>11</v>
      </c>
      <c r="C17" s="36">
        <f>SUM(Output!B6:M6)</f>
        <v>578734.4953656234</v>
      </c>
    </row>
    <row r="18" spans="1:7">
      <c r="B18" s="1" t="s">
        <v>12</v>
      </c>
      <c r="C18" s="36">
        <f>MIN(Output!B6:M6)</f>
        <v>-19336.89164606606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258035.0568210892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130000</v>
      </c>
    </row>
    <row r="25" spans="1:7">
      <c r="B25" s="1" t="s">
        <v>18</v>
      </c>
      <c r="C25" s="36">
        <f>MAX(Inputs!A56:A60)</f>
        <v>130000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-7867.891646066062</v>
      </c>
      <c r="C6" s="51">
        <f>C30-C88</f>
        <v>-19336.89164606606</v>
      </c>
      <c r="D6" s="51">
        <f>D30-D88</f>
        <v>-16636.89164606606</v>
      </c>
      <c r="E6" s="51">
        <f>E30-E88</f>
        <v>78075.00163203321</v>
      </c>
      <c r="F6" s="51">
        <f>F30-F88</f>
        <v>249547.0723249652</v>
      </c>
      <c r="G6" s="51">
        <f>G30-G88</f>
        <v>-3424.391646066062</v>
      </c>
      <c r="H6" s="51">
        <f>H30-H88</f>
        <v>-7867.891646066062</v>
      </c>
      <c r="I6" s="51">
        <f>I30-I88</f>
        <v>-19336.89164606606</v>
      </c>
      <c r="J6" s="51">
        <f>J30-J88</f>
        <v>-16636.89164606606</v>
      </c>
      <c r="K6" s="51">
        <f>K30-K88</f>
        <v>79121.51325994018</v>
      </c>
      <c r="L6" s="51">
        <f>L30-L88</f>
        <v>258035.0568210892</v>
      </c>
      <c r="M6" s="51">
        <f>M30-M88</f>
        <v>5063.592850057968</v>
      </c>
      <c r="N6" s="51">
        <f>N30-N88</f>
        <v>620.0928500579685</v>
      </c>
      <c r="O6" s="51">
        <f>O30-O88</f>
        <v>-10848.90714994203</v>
      </c>
      <c r="P6" s="51">
        <f>P30-P88</f>
        <v>-8148.907149942032</v>
      </c>
      <c r="Q6" s="51">
        <f>Q30-Q88</f>
        <v>86562.98612815724</v>
      </c>
      <c r="R6" s="51">
        <f>R30-R88</f>
        <v>258035.0568210892</v>
      </c>
      <c r="S6" s="51">
        <f>S30-S88</f>
        <v>5063.592850057968</v>
      </c>
      <c r="T6" s="51">
        <f>T30-T88</f>
        <v>620.0928500579685</v>
      </c>
      <c r="U6" s="51">
        <f>U30-U88</f>
        <v>-10848.90714994203</v>
      </c>
      <c r="V6" s="51">
        <f>V30-V88</f>
        <v>-8148.907149942032</v>
      </c>
      <c r="W6" s="51">
        <f>W30-W88</f>
        <v>86562.98612815724</v>
      </c>
      <c r="X6" s="51">
        <f>X30-X88</f>
        <v>258035.0568210892</v>
      </c>
      <c r="Y6" s="51">
        <f>Y30-Y88</f>
        <v>5063.592850057968</v>
      </c>
      <c r="Z6" s="51">
        <f>SUMIF($B$13:$Y$13,"Yes",B6:Y6)</f>
        <v>579354.5882156814</v>
      </c>
      <c r="AA6" s="51">
        <f>AA30-AA88</f>
        <v>578734.4953656234</v>
      </c>
      <c r="AB6" s="51">
        <f>AB30-AB88</f>
        <v>1241302.32406458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11320</v>
      </c>
      <c r="I7" s="80">
        <f>IF(ISERROR(VLOOKUP(MONTH(I5),Inputs!$D$66:$D$71,1,0)),"",INDEX(Inputs!$B$66:$B$71,MATCH(MONTH(Output!I5),Inputs!$D$66:$D$71,0))-INDEX(Inputs!$C$66:$C$71,MATCH(MONTH(Output!I5),Inputs!$D$66:$D$71,0)))</f>
        <v>13344</v>
      </c>
      <c r="J7" s="80">
        <f>IF(ISERROR(VLOOKUP(MONTH(J5),Inputs!$D$66:$D$71,1,0)),"",INDEX(Inputs!$B$66:$B$71,MATCH(MONTH(Output!J5),Inputs!$D$66:$D$71,0))-INDEX(Inputs!$C$66:$C$71,MATCH(MONTH(Output!J5),Inputs!$D$66:$D$71,0)))</f>
        <v>616680</v>
      </c>
      <c r="K7" s="80">
        <f>IF(ISERROR(VLOOKUP(MONTH(K5),Inputs!$D$66:$D$71,1,0)),"",INDEX(Inputs!$B$66:$B$71,MATCH(MONTH(Output!K5),Inputs!$D$66:$D$71,0))-INDEX(Inputs!$C$66:$C$71,MATCH(MONTH(Output!K5),Inputs!$D$66:$D$71,0)))</f>
        <v>14640</v>
      </c>
      <c r="L7" s="80">
        <f>IF(ISERROR(VLOOKUP(MONTH(L5),Inputs!$D$66:$D$71,1,0)),"",INDEX(Inputs!$B$66:$B$71,MATCH(MONTH(Output!L5),Inputs!$D$66:$D$71,0))-INDEX(Inputs!$C$66:$C$71,MATCH(MONTH(Output!L5),Inputs!$D$66:$D$71,0)))</f>
        <v>7448</v>
      </c>
      <c r="M7" s="80">
        <f>IF(ISERROR(VLOOKUP(MONTH(M5),Inputs!$D$66:$D$71,1,0)),"",INDEX(Inputs!$B$66:$B$71,MATCH(MONTH(Output!M5),Inputs!$D$66:$D$71,0))-INDEX(Inputs!$C$66:$C$71,MATCH(MONTH(Output!M5),Inputs!$D$66:$D$71,0)))</f>
        <v>-8590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11320</v>
      </c>
      <c r="U7" s="80">
        <f>IF(ISERROR(VLOOKUP(MONTH(U5),Inputs!$D$66:$D$71,1,0)),"",INDEX(Inputs!$B$66:$B$71,MATCH(MONTH(Output!U5),Inputs!$D$66:$D$71,0))-INDEX(Inputs!$C$66:$C$71,MATCH(MONTH(Output!U5),Inputs!$D$66:$D$71,0)))</f>
        <v>13344</v>
      </c>
      <c r="V7" s="80">
        <f>IF(ISERROR(VLOOKUP(MONTH(V5),Inputs!$D$66:$D$71,1,0)),"",INDEX(Inputs!$B$66:$B$71,MATCH(MONTH(Output!V5),Inputs!$D$66:$D$71,0))-INDEX(Inputs!$C$66:$C$71,MATCH(MONTH(Output!V5),Inputs!$D$66:$D$71,0)))</f>
        <v>616680</v>
      </c>
      <c r="W7" s="80">
        <f>IF(ISERROR(VLOOKUP(MONTH(W5),Inputs!$D$66:$D$71,1,0)),"",INDEX(Inputs!$B$66:$B$71,MATCH(MONTH(Output!W5),Inputs!$D$66:$D$71,0))-INDEX(Inputs!$C$66:$C$71,MATCH(MONTH(Output!W5),Inputs!$D$66:$D$71,0)))</f>
        <v>14640</v>
      </c>
      <c r="X7" s="80">
        <f>IF(ISERROR(VLOOKUP(MONTH(X5),Inputs!$D$66:$D$71,1,0)),"",INDEX(Inputs!$B$66:$B$71,MATCH(MONTH(Output!X5),Inputs!$D$66:$D$71,0))-INDEX(Inputs!$C$66:$C$71,MATCH(MONTH(Output!X5),Inputs!$D$66:$D$71,0)))</f>
        <v>7448</v>
      </c>
      <c r="Y7" s="80">
        <f>IF(ISERROR(VLOOKUP(MONTH(Y5),Inputs!$D$66:$D$71,1,0)),"",INDEX(Inputs!$B$66:$B$71,MATCH(MONTH(Output!Y5),Inputs!$D$66:$D$71,0))-INDEX(Inputs!$C$66:$C$71,MATCH(MONTH(Output!Y5),Inputs!$D$66:$D$71,0)))</f>
        <v>-8590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9833.333333333334</v>
      </c>
      <c r="D10" s="37">
        <f>SUMPRODUCT((Calculations!$D$33:$D$84=Output!D5)+0,Calculations!$C$33:$C$84)</f>
        <v>9833.333333333334</v>
      </c>
      <c r="E10" s="37">
        <f>SUMPRODUCT((Calculations!$D$33:$D$84=Output!E5)+0,Calculations!$C$33:$C$84)</f>
        <v>9833.333333333334</v>
      </c>
      <c r="F10" s="37">
        <f>SUMPRODUCT((Calculations!$D$33:$D$84=Output!F5)+0,Calculations!$C$33:$C$84)</f>
        <v>9833.333333333334</v>
      </c>
      <c r="G10" s="37">
        <f>SUMPRODUCT((Calculations!$D$33:$D$84=Output!G5)+0,Calculations!$C$33:$C$84)</f>
        <v>9833.333333333334</v>
      </c>
      <c r="H10" s="37">
        <f>SUMPRODUCT((Calculations!$D$33:$D$84=Output!H5)+0,Calculations!$C$33:$C$84)</f>
        <v>9833.333333333334</v>
      </c>
      <c r="I10" s="37">
        <f>SUMPRODUCT((Calculations!$D$33:$D$84=Output!I5)+0,Calculations!$C$33:$C$84)</f>
        <v>9833.333333333334</v>
      </c>
      <c r="J10" s="37">
        <f>SUMPRODUCT((Calculations!$D$33:$D$84=Output!J5)+0,Calculations!$C$33:$C$84)</f>
        <v>9833.333333333334</v>
      </c>
      <c r="K10" s="37">
        <f>SUMPRODUCT((Calculations!$D$33:$D$84=Output!K5)+0,Calculations!$C$33:$C$84)</f>
        <v>9833.333333333334</v>
      </c>
      <c r="L10" s="37">
        <f>SUMPRODUCT((Calculations!$D$33:$D$84=Output!L5)+0,Calculations!$C$33:$C$84)</f>
        <v>9833.333333333334</v>
      </c>
      <c r="M10" s="37">
        <f>SUMPRODUCT((Calculations!$D$33:$D$84=Output!M5)+0,Calculations!$C$33:$C$84)</f>
        <v>9833.333333333334</v>
      </c>
      <c r="N10" s="37">
        <f>SUMPRODUCT((Calculations!$D$33:$D$84=Output!N5)+0,Calculations!$C$33:$C$84)</f>
        <v>9833.333333333334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108166.6666666667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92132.10835393393</v>
      </c>
      <c r="C11" s="80">
        <f>C6+C9-C10</f>
        <v>-29170.2249793994</v>
      </c>
      <c r="D11" s="80">
        <f>D6+D9-D10</f>
        <v>-26470.2249793994</v>
      </c>
      <c r="E11" s="80">
        <f>E6+E9-E10</f>
        <v>68241.66829869988</v>
      </c>
      <c r="F11" s="80">
        <f>F6+F9-F10</f>
        <v>239713.7389916318</v>
      </c>
      <c r="G11" s="80">
        <f>G6+G9-G10</f>
        <v>-13257.7249793994</v>
      </c>
      <c r="H11" s="80">
        <f>H6+H9-H10</f>
        <v>-17701.2249793994</v>
      </c>
      <c r="I11" s="80">
        <f>I6+I9-I10</f>
        <v>-29170.2249793994</v>
      </c>
      <c r="J11" s="80">
        <f>J6+J9-J10</f>
        <v>-26470.2249793994</v>
      </c>
      <c r="K11" s="80">
        <f>K6+K9-K10</f>
        <v>69288.17992660686</v>
      </c>
      <c r="L11" s="80">
        <f>L6+L9-L10</f>
        <v>248201.7234877559</v>
      </c>
      <c r="M11" s="80">
        <f>M6+M9-M10</f>
        <v>-4769.740483275365</v>
      </c>
      <c r="N11" s="80">
        <f>N6+N9-N10</f>
        <v>-9213.240483275365</v>
      </c>
      <c r="O11" s="80">
        <f>O6+O9-O10</f>
        <v>-10848.90714994203</v>
      </c>
      <c r="P11" s="80">
        <f>P6+P9-P10</f>
        <v>-8148.907149942032</v>
      </c>
      <c r="Q11" s="80">
        <f>Q6+Q9-Q10</f>
        <v>86562.98612815724</v>
      </c>
      <c r="R11" s="80">
        <f>R6+R9-R10</f>
        <v>258035.0568210892</v>
      </c>
      <c r="S11" s="80">
        <f>S6+S9-S10</f>
        <v>5063.592850057968</v>
      </c>
      <c r="T11" s="80">
        <f>T6+T9-T10</f>
        <v>620.0928500579685</v>
      </c>
      <c r="U11" s="80">
        <f>U6+U9-U10</f>
        <v>-10848.90714994203</v>
      </c>
      <c r="V11" s="80">
        <f>V6+V9-V10</f>
        <v>-8148.907149942032</v>
      </c>
      <c r="W11" s="80">
        <f>W6+W9-W10</f>
        <v>86562.98612815724</v>
      </c>
      <c r="X11" s="80">
        <f>X6+X9-X10</f>
        <v>258035.0568210892</v>
      </c>
      <c r="Y11" s="80">
        <f>Y6+Y9-Y10</f>
        <v>5063.592850057968</v>
      </c>
      <c r="Z11" s="85">
        <f>SUMIF($B$13:$Y$13,"Yes",B11:Y11)</f>
        <v>561354.5882156811</v>
      </c>
      <c r="AA11" s="80">
        <f>SUM(B11:M11)</f>
        <v>570567.8286989565</v>
      </c>
      <c r="AB11" s="46">
        <f>SUM(B11:Y11)</f>
        <v>1223302.32406458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0.1350821355858471</v>
      </c>
      <c r="D12" s="82">
        <f>IF(D13="Yes",IF(SUM($B$10:D10)/(SUM($B$6:D6)+SUM($B$9:D9))&lt;0,999.99,SUM($B$10:D10)/(SUM($B$6:D6)+SUM($B$9:D9))),"")</f>
        <v>0.3502003780387618</v>
      </c>
      <c r="E12" s="82">
        <f>IF(E13="Yes",IF(SUM($B$10:E10)/(SUM($B$6:E6)+SUM($B$9:E9))&lt;0,999.99,SUM($B$10:E10)/(SUM($B$6:E6)+SUM($B$9:E9))),"")</f>
        <v>0.2197665864847768</v>
      </c>
      <c r="F12" s="82">
        <f>IF(F13="Yes",IF(SUM($B$10:F10)/(SUM($B$6:F6)+SUM($B$9:F9))&lt;0,999.99,SUM($B$10:F10)/(SUM($B$6:F6)+SUM($B$9:F9))),"")</f>
        <v>0.102489166809706</v>
      </c>
      <c r="G12" s="82">
        <f>IF(G13="Yes",IF(SUM($B$10:G10)/(SUM($B$6:G6)+SUM($B$9:G9))&lt;0,999.99,SUM($B$10:G10)/(SUM($B$6:G6)+SUM($B$9:G9))),"")</f>
        <v>0.1292648616391781</v>
      </c>
      <c r="H12" s="82">
        <f>IF(H13="Yes",IF(SUM($B$10:H10)/(SUM($B$6:H6)+SUM($B$9:H9))&lt;0,999.99,SUM($B$10:H10)/(SUM($B$6:H6)+SUM($B$9:H9))),"")</f>
        <v>0.1583943151713711</v>
      </c>
      <c r="I12" s="82">
        <f>IF(I13="Yes",IF(SUM($B$10:I10)/(SUM($B$6:I6)+SUM($B$9:I9))&lt;0,999.99,SUM($B$10:I10)/(SUM($B$6:I6)+SUM($B$9:I9))),"")</f>
        <v>0.1949117789766546</v>
      </c>
      <c r="J12" s="82">
        <f>IF(J13="Yes",IF(SUM($B$10:J10)/(SUM($B$6:J6)+SUM($B$9:J9))&lt;0,999.99,SUM($B$10:J10)/(SUM($B$6:J6)+SUM($B$9:J9))),"")</f>
        <v>0.2337691417109854</v>
      </c>
      <c r="K12" s="82">
        <f>IF(K13="Yes",IF(SUM($B$10:K10)/(SUM($B$6:K6)+SUM($B$9:K9))&lt;0,999.99,SUM($B$10:K10)/(SUM($B$6:K6)+SUM($B$9:K9))),"")</f>
        <v>0.2129267745233269</v>
      </c>
      <c r="L12" s="82">
        <f>IF(L13="Yes",IF(SUM($B$10:L10)/(SUM($B$6:L6)+SUM($B$9:L9))&lt;0,999.99,SUM($B$10:L10)/(SUM($B$6:L6)+SUM($B$9:L9))),"")</f>
        <v>0.1459664250988802</v>
      </c>
      <c r="M12" s="82">
        <f>IF(M13="Yes",IF(SUM($B$10:M10)/(SUM($B$6:M6)+SUM($B$9:M9))&lt;0,999.99,SUM($B$10:M10)/(SUM($B$6:M6)+SUM($B$9:M9))),"")</f>
        <v>0.1593652118836232</v>
      </c>
      <c r="N12" s="82">
        <f>IF(N13="Yes",IF(SUM($B$10:N10)/(SUM($B$6:N6)+SUM($B$9:N9))&lt;0,999.99,SUM($B$10:N10)/(SUM($B$6:N6)+SUM($B$9:N9))),"")</f>
        <v>0.1736942710726749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13300</v>
      </c>
      <c r="C18" s="36">
        <f>O18</f>
        <v>13300</v>
      </c>
      <c r="D18" s="36">
        <f>P18</f>
        <v>13300</v>
      </c>
      <c r="E18" s="36">
        <f>Q18</f>
        <v>13300</v>
      </c>
      <c r="F18" s="36">
        <f>R18</f>
        <v>13300</v>
      </c>
      <c r="G18" s="36">
        <f>S18</f>
        <v>13300</v>
      </c>
      <c r="H18" s="36">
        <f>T18</f>
        <v>13300</v>
      </c>
      <c r="I18" s="36">
        <f>U18</f>
        <v>13300</v>
      </c>
      <c r="J18" s="36">
        <f>V18</f>
        <v>13300</v>
      </c>
      <c r="K18" s="36">
        <f>W18</f>
        <v>13300</v>
      </c>
      <c r="L18" s="36">
        <f>X18</f>
        <v>13300</v>
      </c>
      <c r="M18" s="36">
        <f>Y18</f>
        <v>13300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13300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13300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13300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13300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13300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13300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13300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13300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13300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13300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13300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13300</v>
      </c>
      <c r="Z18" s="36">
        <f>SUMIF($B$13:$Y$13,"Yes",B18:Y18)</f>
        <v>172900</v>
      </c>
      <c r="AA18" s="36">
        <f>SUM(B18:M18)</f>
        <v>159600</v>
      </c>
      <c r="AB18" s="36">
        <f>SUM(B18:Y18)</f>
        <v>319200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Tomatoes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261546.4639710312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261546.4639710312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261546.4639710312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261546.4639710312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523092.9279420625</v>
      </c>
      <c r="AA20" s="36">
        <f>SUM(B20:M20)</f>
        <v>523092.9279420625</v>
      </c>
      <c r="AB20" s="36">
        <f>SUM(B20:Y20)</f>
        <v>1046185.855884125</v>
      </c>
    </row>
    <row r="21" spans="1:30">
      <c r="A21" t="str">
        <f>IF(Calculations!A7&lt;&gt;Parameters!$A$18,IF(Calculations!A7=0,"",Calculations!A7),Inputs!B10)</f>
        <v>Cabbages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100911.8932780993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100911.8932780993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100911.8932780993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100911.8932780993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201823.7865561986</v>
      </c>
      <c r="AA21" s="36">
        <f>SUM(B21:M21)</f>
        <v>201823.7865561986</v>
      </c>
      <c r="AB21" s="36">
        <f>SUM(B21:Y21)</f>
        <v>403647.5731123971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415187.4999999999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45237.5</v>
      </c>
      <c r="C30" s="19">
        <f>SUM(C18:C29)</f>
        <v>45237.5</v>
      </c>
      <c r="D30" s="19">
        <f>SUM(D18:D29)</f>
        <v>45237.5</v>
      </c>
      <c r="E30" s="19">
        <f>SUM(E18:E29)</f>
        <v>146149.3932780993</v>
      </c>
      <c r="F30" s="19">
        <f>SUM(F18:F29)</f>
        <v>306783.9639710312</v>
      </c>
      <c r="G30" s="19">
        <f>SUM(G18:G29)</f>
        <v>45237.5</v>
      </c>
      <c r="H30" s="19">
        <f>SUM(H18:H29)</f>
        <v>45237.5</v>
      </c>
      <c r="I30" s="19">
        <f>SUM(I18:I29)</f>
        <v>45237.5</v>
      </c>
      <c r="J30" s="19">
        <f>SUM(J18:J29)</f>
        <v>45237.5</v>
      </c>
      <c r="K30" s="19">
        <f>SUM(K18:K29)</f>
        <v>146149.3932780993</v>
      </c>
      <c r="L30" s="19">
        <f>SUM(L18:L29)</f>
        <v>306783.9639710312</v>
      </c>
      <c r="M30" s="19">
        <f>SUM(M18:M29)</f>
        <v>45237.5</v>
      </c>
      <c r="N30" s="19">
        <f>SUM(N18:N29)</f>
        <v>45237.5</v>
      </c>
      <c r="O30" s="19">
        <f>SUM(O18:O29)</f>
        <v>45237.5</v>
      </c>
      <c r="P30" s="19">
        <f>SUM(P18:P29)</f>
        <v>45237.5</v>
      </c>
      <c r="Q30" s="19">
        <f>SUM(Q18:Q29)</f>
        <v>146149.3932780993</v>
      </c>
      <c r="R30" s="19">
        <f>SUM(R18:R29)</f>
        <v>306783.9639710312</v>
      </c>
      <c r="S30" s="19">
        <f>SUM(S18:S29)</f>
        <v>45237.5</v>
      </c>
      <c r="T30" s="19">
        <f>SUM(T18:T29)</f>
        <v>45237.5</v>
      </c>
      <c r="U30" s="19">
        <f>SUM(U18:U29)</f>
        <v>45237.5</v>
      </c>
      <c r="V30" s="19">
        <f>SUM(V18:V29)</f>
        <v>45237.5</v>
      </c>
      <c r="W30" s="19">
        <f>SUM(W18:W29)</f>
        <v>146149.3932780993</v>
      </c>
      <c r="X30" s="19">
        <f>SUM(X18:X29)</f>
        <v>306783.9639710312</v>
      </c>
      <c r="Y30" s="19">
        <f>SUM(Y18:Y29)</f>
        <v>45237.5</v>
      </c>
      <c r="Z30" s="19">
        <f>SUMIF($B$13:$Y$13,"Yes",B30:Y30)</f>
        <v>1313004.214498261</v>
      </c>
      <c r="AA30" s="19">
        <f>SUM(B30:M30)</f>
        <v>1267766.714498261</v>
      </c>
      <c r="AB30" s="19">
        <f>SUM(B30:Y30)</f>
        <v>2535533.428996522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2166.666666666667</v>
      </c>
      <c r="C36" s="36">
        <f>O36</f>
        <v>4166.666666666667</v>
      </c>
      <c r="D36" s="36">
        <f>P36</f>
        <v>166.6666666666667</v>
      </c>
      <c r="E36" s="36">
        <f>Q36</f>
        <v>166.6666666666667</v>
      </c>
      <c r="F36" s="36">
        <f>R36</f>
        <v>166.6666666666667</v>
      </c>
      <c r="G36" s="36">
        <f>S36</f>
        <v>166.6666666666667</v>
      </c>
      <c r="H36" s="36">
        <f>T36</f>
        <v>2166.666666666667</v>
      </c>
      <c r="I36" s="36">
        <f>U36</f>
        <v>4166.666666666667</v>
      </c>
      <c r="J36" s="36">
        <f>V36</f>
        <v>166.6666666666667</v>
      </c>
      <c r="K36" s="36">
        <f>W36</f>
        <v>166.6666666666667</v>
      </c>
      <c r="L36" s="36">
        <f>X36</f>
        <v>166.6666666666667</v>
      </c>
      <c r="M36" s="36">
        <f>Y36</f>
        <v>166.6666666666667</v>
      </c>
      <c r="N36" s="36">
        <f>SUM(N37:N41)</f>
        <v>2166.666666666667</v>
      </c>
      <c r="O36" s="36">
        <f>SUM(O37:O41)</f>
        <v>4166.666666666667</v>
      </c>
      <c r="P36" s="36">
        <f>SUM(P37:P41)</f>
        <v>166.6666666666667</v>
      </c>
      <c r="Q36" s="36">
        <f>SUM(Q37:Q41)</f>
        <v>166.6666666666667</v>
      </c>
      <c r="R36" s="36">
        <f>SUM(R37:R41)</f>
        <v>166.6666666666667</v>
      </c>
      <c r="S36" s="36">
        <f>SUM(S37:S41)</f>
        <v>166.6666666666667</v>
      </c>
      <c r="T36" s="36">
        <f>SUM(T37:T41)</f>
        <v>2166.666666666667</v>
      </c>
      <c r="U36" s="36">
        <f>SUM(U37:U41)</f>
        <v>4166.666666666667</v>
      </c>
      <c r="V36" s="36">
        <f>SUM(V37:V41)</f>
        <v>166.6666666666667</v>
      </c>
      <c r="W36" s="36">
        <f>SUM(W37:W41)</f>
        <v>166.6666666666667</v>
      </c>
      <c r="X36" s="36">
        <f>SUM(X37:X41)</f>
        <v>166.6666666666667</v>
      </c>
      <c r="Y36" s="36">
        <f>SUM(Y37:Y41)</f>
        <v>166.6666666666667</v>
      </c>
      <c r="Z36" s="36">
        <f>SUMIF($B$13:$Y$13,"Yes",B36:Y36)</f>
        <v>16166.66666666667</v>
      </c>
      <c r="AA36" s="36">
        <f>SUM(B36:M36)</f>
        <v>14000</v>
      </c>
      <c r="AB36" s="36">
        <f>SUM(B36:Y36)</f>
        <v>28000.00000000001</v>
      </c>
      <c r="AC36" s="73"/>
    </row>
    <row r="37" spans="1:30" hidden="true" outlineLevel="1">
      <c r="A37" s="181" t="str">
        <f>Calculations!$A$4</f>
        <v>Bananas</v>
      </c>
      <c r="B37" s="36">
        <f>N37</f>
        <v>166.6666666666667</v>
      </c>
      <c r="C37" s="36">
        <f>O37</f>
        <v>166.6666666666667</v>
      </c>
      <c r="D37" s="36">
        <f>P37</f>
        <v>166.6666666666667</v>
      </c>
      <c r="E37" s="36">
        <f>Q37</f>
        <v>166.6666666666667</v>
      </c>
      <c r="F37" s="36">
        <f>R37</f>
        <v>166.6666666666667</v>
      </c>
      <c r="G37" s="36">
        <f>S37</f>
        <v>166.6666666666667</v>
      </c>
      <c r="H37" s="36">
        <f>T37</f>
        <v>166.6666666666667</v>
      </c>
      <c r="I37" s="36">
        <f>U37</f>
        <v>166.6666666666667</v>
      </c>
      <c r="J37" s="36">
        <f>V37</f>
        <v>166.6666666666667</v>
      </c>
      <c r="K37" s="36">
        <f>W37</f>
        <v>166.6666666666667</v>
      </c>
      <c r="L37" s="36">
        <f>X37</f>
        <v>166.6666666666667</v>
      </c>
      <c r="M37" s="36">
        <f>Y37</f>
        <v>166.6666666666667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166.6666666666667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166.6666666666667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166.6666666666667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166.6666666666667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166.6666666666667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166.6666666666667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166.6666666666667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166.6666666666667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166.6666666666667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166.6666666666667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166.6666666666667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166.6666666666667</v>
      </c>
      <c r="Z37" s="36">
        <f>SUMIF($B$13:$Y$13,"Yes",B37:Y37)</f>
        <v>2166.666666666667</v>
      </c>
      <c r="AA37" s="36">
        <f>SUM(B37:M37)</f>
        <v>2000</v>
      </c>
      <c r="AB37" s="36">
        <f>SUM(B37:Y37)</f>
        <v>3999.999999999999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Tomatoes</v>
      </c>
      <c r="B39" s="36">
        <f>N39</f>
        <v>0</v>
      </c>
      <c r="C39" s="36">
        <f>O39</f>
        <v>4000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4000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4000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4000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8000</v>
      </c>
      <c r="AA39" s="36">
        <f>SUM(B39:M39)</f>
        <v>8000</v>
      </c>
      <c r="AB39" s="36">
        <f>SUM(B39:Y39)</f>
        <v>16000</v>
      </c>
      <c r="AC39" s="73"/>
    </row>
    <row r="40" spans="1:30" hidden="true" outlineLevel="1">
      <c r="A40" s="181" t="str">
        <f>Calculations!$A$7</f>
        <v>Cabbages</v>
      </c>
      <c r="B40" s="36">
        <f>N40</f>
        <v>2000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2000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2000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2000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6000</v>
      </c>
      <c r="AA40" s="36">
        <f>SUM(B40:M40)</f>
        <v>4000</v>
      </c>
      <c r="AB40" s="36">
        <f>SUM(B40:Y40)</f>
        <v>8000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606</v>
      </c>
      <c r="C42" s="36">
        <f>O42</f>
        <v>1500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606</v>
      </c>
      <c r="I42" s="36">
        <f>U42</f>
        <v>1500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606</v>
      </c>
      <c r="O42" s="36">
        <f>SUM(O43:O47)</f>
        <v>1500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606</v>
      </c>
      <c r="U42" s="36">
        <f>SUM(U43:U47)</f>
        <v>1500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4818</v>
      </c>
      <c r="AA42" s="36">
        <f>SUM(B42:M42)</f>
        <v>4212</v>
      </c>
      <c r="AB42" s="36">
        <f>SUM(B42:Y42)</f>
        <v>8424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Tomatoes</v>
      </c>
      <c r="B45" s="36">
        <f>N45</f>
        <v>0</v>
      </c>
      <c r="C45" s="36">
        <f>O45</f>
        <v>1500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1500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1500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1500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3000</v>
      </c>
      <c r="AA45" s="36">
        <f>SUM(B45:M45)</f>
        <v>3000</v>
      </c>
      <c r="AB45" s="36">
        <f>SUM(B45:Y45)</f>
        <v>6000</v>
      </c>
    </row>
    <row r="46" spans="1:30" hidden="true" outlineLevel="1">
      <c r="A46" s="181" t="str">
        <f>Calculations!$A$7</f>
        <v>Cabbages</v>
      </c>
      <c r="B46" s="36">
        <f>N46</f>
        <v>606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606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606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606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1818</v>
      </c>
      <c r="AA46" s="36">
        <f>SUM(B46:M46)</f>
        <v>1212</v>
      </c>
      <c r="AB46" s="36">
        <f>SUM(B46:Y46)</f>
        <v>2424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2800</v>
      </c>
      <c r="E48" s="36">
        <f>Q48</f>
        <v>9000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2800</v>
      </c>
      <c r="K48" s="36">
        <f>W48</f>
        <v>9000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2800</v>
      </c>
      <c r="Q48" s="46">
        <f>SUM(Q49:Q53)</f>
        <v>9000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2800</v>
      </c>
      <c r="W48" s="46">
        <f>SUM(W49:W53)</f>
        <v>9000</v>
      </c>
      <c r="X48" s="46">
        <f>SUM(X49:X53)</f>
        <v>0</v>
      </c>
      <c r="Y48" s="46">
        <f>SUM(Y49:Y53)</f>
        <v>0</v>
      </c>
      <c r="Z48" s="46">
        <f>SUMIF($B$13:$Y$13,"Yes",B48:Y48)</f>
        <v>23600</v>
      </c>
      <c r="AA48" s="46">
        <f>SUM(B48:M48)</f>
        <v>23600</v>
      </c>
      <c r="AB48" s="46">
        <f>SUM(B48:Y48)</f>
        <v>47200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Tomatoes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9000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9000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9000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9000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18000</v>
      </c>
      <c r="AA51" s="46">
        <f>SUM(B51:M51)</f>
        <v>18000</v>
      </c>
      <c r="AB51" s="46">
        <f>SUM(B51:Y51)</f>
        <v>36000</v>
      </c>
    </row>
    <row r="52" spans="1:30" hidden="true" outlineLevel="1">
      <c r="A52" s="181" t="str">
        <f>Calculations!$A$7</f>
        <v>Cabbages</v>
      </c>
      <c r="B52" s="36">
        <f>N52</f>
        <v>0</v>
      </c>
      <c r="C52" s="36">
        <f>O52</f>
        <v>0</v>
      </c>
      <c r="D52" s="36">
        <f>P52</f>
        <v>2800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2800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2800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2800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5600</v>
      </c>
      <c r="AA52" s="46">
        <f>SUM(B52:M52)</f>
        <v>5600</v>
      </c>
      <c r="AB52" s="46">
        <f>SUM(B52:Y52)</f>
        <v>11200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Tomatoes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Cabbages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Tomatoes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Cabbages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2347.916666666667</v>
      </c>
      <c r="C66" s="36">
        <f>O66</f>
        <v>10922.91666666667</v>
      </c>
      <c r="D66" s="36">
        <f>P66</f>
        <v>10922.91666666667</v>
      </c>
      <c r="E66" s="36">
        <f>Q66</f>
        <v>10922.91666666667</v>
      </c>
      <c r="F66" s="36">
        <f>R66</f>
        <v>9085.416666666666</v>
      </c>
      <c r="G66" s="36">
        <f>S66</f>
        <v>510.4166666666666</v>
      </c>
      <c r="H66" s="36">
        <f>T66</f>
        <v>2347.916666666667</v>
      </c>
      <c r="I66" s="36">
        <f>U66</f>
        <v>10922.91666666667</v>
      </c>
      <c r="J66" s="36">
        <f>V66</f>
        <v>10922.91666666667</v>
      </c>
      <c r="K66" s="36">
        <f>W66</f>
        <v>10922.91666666667</v>
      </c>
      <c r="L66" s="36">
        <f>X66</f>
        <v>9085.416666666666</v>
      </c>
      <c r="M66" s="36">
        <f>Y66</f>
        <v>510.4166666666666</v>
      </c>
      <c r="N66" s="46">
        <f>SUM(N67:N71)</f>
        <v>2347.916666666667</v>
      </c>
      <c r="O66" s="46">
        <f>SUM(O67:O71)</f>
        <v>10922.91666666667</v>
      </c>
      <c r="P66" s="46">
        <f>SUM(P67:P71)</f>
        <v>10922.91666666667</v>
      </c>
      <c r="Q66" s="46">
        <f>SUM(Q67:Q71)</f>
        <v>10922.91666666667</v>
      </c>
      <c r="R66" s="46">
        <f>SUM(R67:R71)</f>
        <v>9085.416666666666</v>
      </c>
      <c r="S66" s="46">
        <f>SUM(S67:S71)</f>
        <v>510.4166666666666</v>
      </c>
      <c r="T66" s="46">
        <f>SUM(T67:T71)</f>
        <v>2347.916666666667</v>
      </c>
      <c r="U66" s="46">
        <f>SUM(U67:U71)</f>
        <v>10922.91666666667</v>
      </c>
      <c r="V66" s="46">
        <f>SUM(V67:V71)</f>
        <v>10922.91666666667</v>
      </c>
      <c r="W66" s="46">
        <f>SUM(W67:W71)</f>
        <v>10922.91666666667</v>
      </c>
      <c r="X66" s="46">
        <f>SUM(X67:X71)</f>
        <v>9085.416666666666</v>
      </c>
      <c r="Y66" s="46">
        <f>SUM(Y67:Y71)</f>
        <v>510.4166666666666</v>
      </c>
      <c r="Z66" s="46">
        <f>SUMIF($B$13:$Y$13,"Yes",B66:Y66)</f>
        <v>91772.91666666667</v>
      </c>
      <c r="AA66" s="46">
        <f>SUM(B66:M66)</f>
        <v>89425</v>
      </c>
      <c r="AB66" s="46">
        <f>SUM(B66:Y66)</f>
        <v>178849.9999999999</v>
      </c>
    </row>
    <row r="67" spans="1:30" hidden="true" outlineLevel="1">
      <c r="A67" s="181" t="str">
        <f>Calculations!$A$4</f>
        <v>Bananas</v>
      </c>
      <c r="B67" s="36">
        <f>N67</f>
        <v>510.4166666666666</v>
      </c>
      <c r="C67" s="36">
        <f>O67</f>
        <v>510.4166666666666</v>
      </c>
      <c r="D67" s="36">
        <f>P67</f>
        <v>510.4166666666666</v>
      </c>
      <c r="E67" s="36">
        <f>Q67</f>
        <v>510.4166666666666</v>
      </c>
      <c r="F67" s="36">
        <f>R67</f>
        <v>510.4166666666666</v>
      </c>
      <c r="G67" s="36">
        <f>S67</f>
        <v>510.4166666666666</v>
      </c>
      <c r="H67" s="36">
        <f>T67</f>
        <v>510.4166666666666</v>
      </c>
      <c r="I67" s="36">
        <f>U67</f>
        <v>510.4166666666666</v>
      </c>
      <c r="J67" s="36">
        <f>V67</f>
        <v>510.4166666666666</v>
      </c>
      <c r="K67" s="36">
        <f>W67</f>
        <v>510.4166666666666</v>
      </c>
      <c r="L67" s="36">
        <f>X67</f>
        <v>510.4166666666666</v>
      </c>
      <c r="M67" s="36">
        <f>Y67</f>
        <v>510.4166666666666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510.4166666666666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510.4166666666666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510.4166666666666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510.4166666666666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510.4166666666666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510.4166666666666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510.4166666666666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510.4166666666666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510.4166666666666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510.4166666666666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510.4166666666666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510.4166666666666</v>
      </c>
      <c r="Z67" s="46">
        <f>SUMIF($B$13:$Y$13,"Yes",B67:Y67)</f>
        <v>6635.416666666667</v>
      </c>
      <c r="AA67" s="46">
        <f>SUM(B67:M67)</f>
        <v>6125</v>
      </c>
      <c r="AB67" s="46">
        <f>SUM(B67:Y67)</f>
        <v>12250</v>
      </c>
    </row>
    <row r="68" spans="1:30" hidden="true" outlineLevel="1">
      <c r="A68" s="181" t="str">
        <f>Calculations!$A$5</f>
        <v>Beans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Tomatoes</v>
      </c>
      <c r="B69" s="36">
        <f>N69</f>
        <v>0</v>
      </c>
      <c r="C69" s="36">
        <f>O69</f>
        <v>8575</v>
      </c>
      <c r="D69" s="36">
        <f>P69</f>
        <v>8575</v>
      </c>
      <c r="E69" s="36">
        <f>Q69</f>
        <v>8575</v>
      </c>
      <c r="F69" s="36">
        <f>R69</f>
        <v>8575</v>
      </c>
      <c r="G69" s="36">
        <f>S69</f>
        <v>0</v>
      </c>
      <c r="H69" s="36">
        <f>T69</f>
        <v>0</v>
      </c>
      <c r="I69" s="36">
        <f>U69</f>
        <v>8575</v>
      </c>
      <c r="J69" s="36">
        <f>V69</f>
        <v>8575</v>
      </c>
      <c r="K69" s="36">
        <f>W69</f>
        <v>8575</v>
      </c>
      <c r="L69" s="36">
        <f>X69</f>
        <v>8575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8575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8575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8575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8575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8575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8575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8575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8575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68600</v>
      </c>
      <c r="AA69" s="46">
        <f>SUM(B69:M69)</f>
        <v>68600</v>
      </c>
      <c r="AB69" s="46">
        <f>SUM(B69:Y69)</f>
        <v>137200</v>
      </c>
    </row>
    <row r="70" spans="1:30" hidden="true" outlineLevel="1">
      <c r="A70" s="181" t="str">
        <f>Calculations!$A$7</f>
        <v>Cabbages</v>
      </c>
      <c r="B70" s="36">
        <f>N70</f>
        <v>1837.5</v>
      </c>
      <c r="C70" s="36">
        <f>O70</f>
        <v>1837.5</v>
      </c>
      <c r="D70" s="36">
        <f>P70</f>
        <v>1837.5</v>
      </c>
      <c r="E70" s="36">
        <f>Q70</f>
        <v>1837.5</v>
      </c>
      <c r="F70" s="36">
        <f>R70</f>
        <v>0</v>
      </c>
      <c r="G70" s="36">
        <f>S70</f>
        <v>0</v>
      </c>
      <c r="H70" s="36">
        <f>T70</f>
        <v>1837.5</v>
      </c>
      <c r="I70" s="36">
        <f>U70</f>
        <v>1837.5</v>
      </c>
      <c r="J70" s="36">
        <f>V70</f>
        <v>1837.5</v>
      </c>
      <c r="K70" s="36">
        <f>W70</f>
        <v>1837.5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1837.5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1837.5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1837.5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1837.5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1837.5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1837.5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1837.5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1837.5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16537.5</v>
      </c>
      <c r="AA70" s="46">
        <f>SUM(B70:M70)</f>
        <v>14700</v>
      </c>
      <c r="AB70" s="46">
        <f>SUM(B70:Y70)</f>
        <v>29400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19770.83333333333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36809.3238166087</v>
      </c>
      <c r="C81" s="46">
        <f>(SUM($AA$18:$AA$29)-SUM($AA$36,$AA$42,$AA$48,$AA$54,$AA$60,$AA$66,$AA$72:$AA$79))*Parameters!$B$37/12</f>
        <v>36809.3238166087</v>
      </c>
      <c r="D81" s="46">
        <f>(SUM($AA$18:$AA$29)-SUM($AA$36,$AA$42,$AA$48,$AA$54,$AA$60,$AA$66,$AA$72:$AA$79))*Parameters!$B$37/12</f>
        <v>36809.3238166087</v>
      </c>
      <c r="E81" s="46">
        <f>(SUM($AA$18:$AA$29)-SUM($AA$36,$AA$42,$AA$48,$AA$54,$AA$60,$AA$66,$AA$72:$AA$79))*Parameters!$B$37/12</f>
        <v>36809.3238166087</v>
      </c>
      <c r="F81" s="46">
        <f>(SUM($AA$18:$AA$29)-SUM($AA$36,$AA$42,$AA$48,$AA$54,$AA$60,$AA$66,$AA$72:$AA$79))*Parameters!$B$37/12</f>
        <v>36809.3238166087</v>
      </c>
      <c r="G81" s="46">
        <f>(SUM($AA$18:$AA$29)-SUM($AA$36,$AA$42,$AA$48,$AA$54,$AA$60,$AA$66,$AA$72:$AA$79))*Parameters!$B$37/12</f>
        <v>36809.3238166087</v>
      </c>
      <c r="H81" s="46">
        <f>(SUM($AA$18:$AA$29)-SUM($AA$36,$AA$42,$AA$48,$AA$54,$AA$60,$AA$66,$AA$72:$AA$79))*Parameters!$B$37/12</f>
        <v>36809.3238166087</v>
      </c>
      <c r="I81" s="46">
        <f>(SUM($AA$18:$AA$29)-SUM($AA$36,$AA$42,$AA$48,$AA$54,$AA$60,$AA$66,$AA$72:$AA$79))*Parameters!$B$37/12</f>
        <v>36809.3238166087</v>
      </c>
      <c r="J81" s="46">
        <f>(SUM($AA$18:$AA$29)-SUM($AA$36,$AA$42,$AA$48,$AA$54,$AA$60,$AA$66,$AA$72:$AA$79))*Parameters!$B$37/12</f>
        <v>36809.3238166087</v>
      </c>
      <c r="K81" s="46">
        <f>(SUM($AA$18:$AA$29)-SUM($AA$36,$AA$42,$AA$48,$AA$54,$AA$60,$AA$66,$AA$72:$AA$79))*Parameters!$B$37/12</f>
        <v>36809.3238166087</v>
      </c>
      <c r="L81" s="46">
        <f>(SUM($AA$18:$AA$29)-SUM($AA$36,$AA$42,$AA$48,$AA$54,$AA$60,$AA$66,$AA$72:$AA$79))*Parameters!$B$37/12</f>
        <v>36809.3238166087</v>
      </c>
      <c r="M81" s="46">
        <f>(SUM($AA$18:$AA$29)-SUM($AA$36,$AA$42,$AA$48,$AA$54,$AA$60,$AA$66,$AA$72:$AA$79))*Parameters!$B$37/12</f>
        <v>36809.3238166087</v>
      </c>
      <c r="N81" s="46">
        <f>(SUM($AA$18:$AA$29)-SUM($AA$36,$AA$42,$AA$48,$AA$54,$AA$60,$AA$66,$AA$72:$AA$79))*Parameters!$B$37/12</f>
        <v>36809.3238166087</v>
      </c>
      <c r="O81" s="46">
        <f>(SUM($AA$18:$AA$29)-SUM($AA$36,$AA$42,$AA$48,$AA$54,$AA$60,$AA$66,$AA$72:$AA$79))*Parameters!$B$37/12</f>
        <v>36809.3238166087</v>
      </c>
      <c r="P81" s="46">
        <f>(SUM($AA$18:$AA$29)-SUM($AA$36,$AA$42,$AA$48,$AA$54,$AA$60,$AA$66,$AA$72:$AA$79))*Parameters!$B$37/12</f>
        <v>36809.3238166087</v>
      </c>
      <c r="Q81" s="46">
        <f>(SUM($AA$18:$AA$29)-SUM($AA$36,$AA$42,$AA$48,$AA$54,$AA$60,$AA$66,$AA$72:$AA$79))*Parameters!$B$37/12</f>
        <v>36809.3238166087</v>
      </c>
      <c r="R81" s="46">
        <f>(SUM($AA$18:$AA$29)-SUM($AA$36,$AA$42,$AA$48,$AA$54,$AA$60,$AA$66,$AA$72:$AA$79))*Parameters!$B$37/12</f>
        <v>36809.3238166087</v>
      </c>
      <c r="S81" s="46">
        <f>(SUM($AA$18:$AA$29)-SUM($AA$36,$AA$42,$AA$48,$AA$54,$AA$60,$AA$66,$AA$72:$AA$79))*Parameters!$B$37/12</f>
        <v>36809.3238166087</v>
      </c>
      <c r="T81" s="46">
        <f>(SUM($AA$18:$AA$29)-SUM($AA$36,$AA$42,$AA$48,$AA$54,$AA$60,$AA$66,$AA$72:$AA$79))*Parameters!$B$37/12</f>
        <v>36809.3238166087</v>
      </c>
      <c r="U81" s="46">
        <f>(SUM($AA$18:$AA$29)-SUM($AA$36,$AA$42,$AA$48,$AA$54,$AA$60,$AA$66,$AA$72:$AA$79))*Parameters!$B$37/12</f>
        <v>36809.3238166087</v>
      </c>
      <c r="V81" s="46">
        <f>(SUM($AA$18:$AA$29)-SUM($AA$36,$AA$42,$AA$48,$AA$54,$AA$60,$AA$66,$AA$72:$AA$79))*Parameters!$B$37/12</f>
        <v>36809.3238166087</v>
      </c>
      <c r="W81" s="46">
        <f>(SUM($AA$18:$AA$29)-SUM($AA$36,$AA$42,$AA$48,$AA$54,$AA$60,$AA$66,$AA$72:$AA$79))*Parameters!$B$37/12</f>
        <v>36809.3238166087</v>
      </c>
      <c r="X81" s="46">
        <f>(SUM($AA$18:$AA$29)-SUM($AA$36,$AA$42,$AA$48,$AA$54,$AA$60,$AA$66,$AA$72:$AA$79))*Parameters!$B$37/12</f>
        <v>36809.3238166087</v>
      </c>
      <c r="Y81" s="46">
        <f>(SUM($AA$18:$AA$29)-SUM($AA$36,$AA$42,$AA$48,$AA$54,$AA$60,$AA$66,$AA$72:$AA$79))*Parameters!$B$37/12</f>
        <v>36809.3238166087</v>
      </c>
      <c r="Z81" s="46">
        <f>SUMIF($B$13:$Y$13,"Yes",B81:Y81)</f>
        <v>478521.2096159131</v>
      </c>
      <c r="AA81" s="46">
        <f>SUM(B81:M81)</f>
        <v>441711.8857993044</v>
      </c>
      <c r="AB81" s="46">
        <f>SUM(B81:Y81)</f>
        <v>883423.7715986093</v>
      </c>
    </row>
    <row r="82" spans="1:30">
      <c r="A82" s="16" t="s">
        <v>52</v>
      </c>
      <c r="B82" s="46">
        <f>SUM(B83:B87)</f>
        <v>8487.984496124031</v>
      </c>
      <c r="C82" s="46">
        <f>SUM(C83:C87)</f>
        <v>8487.984496124031</v>
      </c>
      <c r="D82" s="46">
        <f>SUM(D83:D87)</f>
        <v>8487.984496124031</v>
      </c>
      <c r="E82" s="46">
        <f>SUM(E83:E87)</f>
        <v>8487.984496124031</v>
      </c>
      <c r="F82" s="46">
        <f>SUM(F83:F87)</f>
        <v>8487.984496124031</v>
      </c>
      <c r="G82" s="46">
        <f>SUM(G83:G87)</f>
        <v>8487.984496124031</v>
      </c>
      <c r="H82" s="46">
        <f>SUM(H83:H87)</f>
        <v>8487.984496124031</v>
      </c>
      <c r="I82" s="46">
        <f>SUM(I83:I87)</f>
        <v>8487.984496124031</v>
      </c>
      <c r="J82" s="46">
        <f>SUM(J83:J87)</f>
        <v>8487.984496124031</v>
      </c>
      <c r="K82" s="46">
        <f>SUM(K83:K87)</f>
        <v>7441.472868217059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83833.33333333333</v>
      </c>
      <c r="AA82" s="46">
        <f>SUM(B82:M82)</f>
        <v>83833.33333333333</v>
      </c>
      <c r="AB82" s="46">
        <f>SUM(B82:Y82)</f>
        <v>83833.33333333333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8487.984496124031</v>
      </c>
      <c r="C83" s="46">
        <f>IF(Calculations!$E23&gt;COUNT(Output!$B$35:C$35),Calculations!$B23,IF(Calculations!$E23=COUNT(Output!$B$35:C$35),Inputs!$B56-Calculations!$C23*(Calculations!$E23-1)+Calculations!$D23,0))</f>
        <v>8487.984496124031</v>
      </c>
      <c r="D83" s="46">
        <f>IF(Calculations!$E23&gt;COUNT(Output!$B$35:D$35),Calculations!$B23,IF(Calculations!$E23=COUNT(Output!$B$35:D$35),Inputs!$B56-Calculations!$C23*(Calculations!$E23-1)+Calculations!$D23,0))</f>
        <v>8487.984496124031</v>
      </c>
      <c r="E83" s="46">
        <f>IF(Calculations!$E23&gt;COUNT(Output!$B$35:E$35),Calculations!$B23,IF(Calculations!$E23=COUNT(Output!$B$35:E$35),Inputs!$B56-Calculations!$C23*(Calculations!$E23-1)+Calculations!$D23,0))</f>
        <v>8487.984496124031</v>
      </c>
      <c r="F83" s="46">
        <f>IF(Calculations!$E23&gt;COUNT(Output!$B$35:F$35),Calculations!$B23,IF(Calculations!$E23=COUNT(Output!$B$35:F$35),Inputs!$B56-Calculations!$C23*(Calculations!$E23-1)+Calculations!$D23,0))</f>
        <v>8487.984496124031</v>
      </c>
      <c r="G83" s="46">
        <f>IF(Calculations!$E23&gt;COUNT(Output!$B$35:G$35),Calculations!$B23,IF(Calculations!$E23=COUNT(Output!$B$35:G$35),Inputs!$B56-Calculations!$C23*(Calculations!$E23-1)+Calculations!$D23,0))</f>
        <v>8487.984496124031</v>
      </c>
      <c r="H83" s="46">
        <f>IF(Calculations!$E23&gt;COUNT(Output!$B$35:H$35),Calculations!$B23,IF(Calculations!$E23=COUNT(Output!$B$35:H$35),Inputs!$B56-Calculations!$C23*(Calculations!$E23-1)+Calculations!$D23,0))</f>
        <v>8487.984496124031</v>
      </c>
      <c r="I83" s="46">
        <f>IF(Calculations!$E23&gt;COUNT(Output!$B$35:I$35),Calculations!$B23,IF(Calculations!$E23=COUNT(Output!$B$35:I$35),Inputs!$B56-Calculations!$C23*(Calculations!$E23-1)+Calculations!$D23,0))</f>
        <v>8487.984496124031</v>
      </c>
      <c r="J83" s="46">
        <f>IF(Calculations!$E23&gt;COUNT(Output!$B$35:J$35),Calculations!$B23,IF(Calculations!$E23=COUNT(Output!$B$35:J$35),Inputs!$B56-Calculations!$C23*(Calculations!$E23-1)+Calculations!$D23,0))</f>
        <v>8487.984496124031</v>
      </c>
      <c r="K83" s="46">
        <f>IF(Calculations!$E23&gt;COUNT(Output!$B$35:K$35),Calculations!$B23,IF(Calculations!$E23=COUNT(Output!$B$35:K$35),Inputs!$B56-Calculations!$C23*(Calculations!$E23-1)+Calculations!$D23,0))</f>
        <v>7441.472868217059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83833.33333333333</v>
      </c>
      <c r="AA83" s="46">
        <f>SUM(B83:M83)</f>
        <v>83833.33333333333</v>
      </c>
      <c r="AB83" s="46">
        <f>SUM(B83:Y83)</f>
        <v>83833.33333333333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53105.39164606606</v>
      </c>
      <c r="C88" s="19">
        <f>SUM(C72:C82,C66,C60,C54,C48,C42,C36)</f>
        <v>64574.39164606606</v>
      </c>
      <c r="D88" s="19">
        <f>SUM(D72:D82,D66,D60,D54,D48,D42,D36)</f>
        <v>61874.39164606606</v>
      </c>
      <c r="E88" s="19">
        <f>SUM(E72:E82,E66,E60,E54,E48,E42,E36)</f>
        <v>68074.39164606607</v>
      </c>
      <c r="F88" s="19">
        <f>SUM(F72:F82,F66,F60,F54,F48,F42,F36)</f>
        <v>57236.89164606606</v>
      </c>
      <c r="G88" s="19">
        <f>SUM(G72:G82,G66,G60,G54,G48,G42,G36)</f>
        <v>48661.89164606606</v>
      </c>
      <c r="H88" s="19">
        <f>SUM(H72:H82,H66,H60,H54,H48,H42,H36)</f>
        <v>53105.39164606606</v>
      </c>
      <c r="I88" s="19">
        <f>SUM(I72:I82,I66,I60,I54,I48,I42,I36)</f>
        <v>64574.39164606606</v>
      </c>
      <c r="J88" s="19">
        <f>SUM(J72:J82,J66,J60,J54,J48,J42,J36)</f>
        <v>61874.39164606606</v>
      </c>
      <c r="K88" s="19">
        <f>SUM(K72:K82,K66,K60,K54,K48,K42,K36)</f>
        <v>67027.88001815909</v>
      </c>
      <c r="L88" s="19">
        <f>SUM(L72:L82,L66,L60,L54,L48,L42,L36)</f>
        <v>48748.90714994203</v>
      </c>
      <c r="M88" s="19">
        <f>SUM(M72:M82,M66,M60,M54,M48,M42,M36)</f>
        <v>40173.90714994203</v>
      </c>
      <c r="N88" s="19">
        <f>SUM(N72:N82,N66,N60,N54,N48,N42,N36)</f>
        <v>44617.40714994203</v>
      </c>
      <c r="O88" s="19">
        <f>SUM(O72:O82,O66,O60,O54,O48,O42,O36)</f>
        <v>56086.40714994203</v>
      </c>
      <c r="P88" s="19">
        <f>SUM(P72:P82,P66,P60,P54,P48,P42,P36)</f>
        <v>53386.40714994203</v>
      </c>
      <c r="Q88" s="19">
        <f>SUM(Q72:Q82,Q66,Q60,Q54,Q48,Q42,Q36)</f>
        <v>59586.40714994203</v>
      </c>
      <c r="R88" s="19">
        <f>SUM(R72:R82,R66,R60,R54,R48,R42,R36)</f>
        <v>48748.90714994203</v>
      </c>
      <c r="S88" s="19">
        <f>SUM(S72:S82,S66,S60,S54,S48,S42,S36)</f>
        <v>40173.90714994203</v>
      </c>
      <c r="T88" s="19">
        <f>SUM(T72:T82,T66,T60,T54,T48,T42,T36)</f>
        <v>44617.40714994203</v>
      </c>
      <c r="U88" s="19">
        <f>SUM(U72:U82,U66,U60,U54,U48,U42,U36)</f>
        <v>56086.40714994203</v>
      </c>
      <c r="V88" s="19">
        <f>SUM(V72:V82,V66,V60,V54,V48,V42,V36)</f>
        <v>53386.40714994203</v>
      </c>
      <c r="W88" s="19">
        <f>SUM(W72:W82,W66,W60,W54,W48,W42,W36)</f>
        <v>59586.40714994203</v>
      </c>
      <c r="X88" s="19">
        <f>SUM(X72:X82,X66,X60,X54,X48,X42,X36)</f>
        <v>48748.90714994203</v>
      </c>
      <c r="Y88" s="19">
        <f>SUM(Y72:Y82,Y66,Y60,Y54,Y48,Y42,Y36)</f>
        <v>40173.90714994203</v>
      </c>
      <c r="Z88" s="19">
        <f>SUMIF($B$13:$Y$13,"Yes",B88:Y88)</f>
        <v>733649.6262825796</v>
      </c>
      <c r="AA88" s="19">
        <f>SUM(B88:M88)</f>
        <v>689032.2191326376</v>
      </c>
      <c r="AB88" s="19">
        <f>SUM(B88:Y88)</f>
        <v>1294231.104931942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40000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1140000</v>
      </c>
    </row>
    <row r="98" spans="1:30">
      <c r="A98" t="s">
        <v>64</v>
      </c>
      <c r="B98" s="36">
        <f>IF(Inputs!B44="Yes",Inputs!B45,0)</f>
        <v>1000000</v>
      </c>
    </row>
    <row r="99" spans="1:30">
      <c r="A99" t="s">
        <v>65</v>
      </c>
      <c r="B99" s="36">
        <f>Inputs!B46</f>
        <v>280000</v>
      </c>
    </row>
    <row r="100" spans="1:30" customHeight="1" ht="15.75">
      <c r="A100" s="18" t="s">
        <v>66</v>
      </c>
      <c r="B100" s="37">
        <f>Inputs!B48</f>
        <v>250000</v>
      </c>
    </row>
    <row r="101" spans="1:30" customHeight="1" ht="15.75">
      <c r="A101" s="1" t="s">
        <v>67</v>
      </c>
      <c r="B101" s="19">
        <f>SUM(B94:B100)</f>
        <v>3230000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60000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180000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94</v>
      </c>
      <c r="B8" s="16"/>
      <c r="C8" s="143">
        <v>0</v>
      </c>
      <c r="D8" s="16"/>
      <c r="E8" s="147" t="s">
        <v>95</v>
      </c>
      <c r="F8" s="149" t="s">
        <v>91</v>
      </c>
      <c r="G8" s="147"/>
      <c r="H8" s="147" t="s">
        <v>96</v>
      </c>
      <c r="I8" s="147" t="s">
        <v>97</v>
      </c>
      <c r="J8" s="148" t="s">
        <v>98</v>
      </c>
      <c r="K8" s="138"/>
      <c r="L8" s="16"/>
      <c r="M8" s="165">
        <v>5</v>
      </c>
      <c r="N8" s="154">
        <v>0</v>
      </c>
    </row>
    <row r="9" spans="1:48">
      <c r="A9" s="143" t="s">
        <v>99</v>
      </c>
      <c r="B9" s="16"/>
      <c r="C9" s="143">
        <v>2</v>
      </c>
      <c r="D9" s="16"/>
      <c r="E9" s="147" t="s">
        <v>95</v>
      </c>
      <c r="F9" s="149" t="s">
        <v>91</v>
      </c>
      <c r="G9" s="147"/>
      <c r="H9" s="147" t="s">
        <v>96</v>
      </c>
      <c r="I9" s="147" t="s">
        <v>97</v>
      </c>
      <c r="J9" s="148" t="s">
        <v>98</v>
      </c>
      <c r="K9" s="138"/>
      <c r="L9" s="16"/>
      <c r="M9" s="165">
        <v>5</v>
      </c>
      <c r="N9" s="154">
        <v>0</v>
      </c>
    </row>
    <row r="10" spans="1:48">
      <c r="A10" s="143" t="s">
        <v>100</v>
      </c>
      <c r="B10" s="16"/>
      <c r="C10" s="143">
        <v>1</v>
      </c>
      <c r="D10" s="16"/>
      <c r="E10" s="147" t="s">
        <v>95</v>
      </c>
      <c r="F10" s="149" t="s">
        <v>91</v>
      </c>
      <c r="G10" s="147"/>
      <c r="H10" s="147" t="s">
        <v>96</v>
      </c>
      <c r="I10" s="147" t="s">
        <v>97</v>
      </c>
      <c r="J10" s="148" t="s">
        <v>93</v>
      </c>
      <c r="K10" s="138"/>
      <c r="L10" s="16"/>
      <c r="M10" s="165">
        <v>0</v>
      </c>
      <c r="N10" s="154">
        <v>0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2" t="s">
        <v>114</v>
      </c>
      <c r="B19" s="20"/>
      <c r="C19" s="142">
        <v>2</v>
      </c>
      <c r="D19" s="145">
        <v>2</v>
      </c>
      <c r="E19" s="20"/>
      <c r="F19" s="145" t="s">
        <v>96</v>
      </c>
      <c r="G19" s="20"/>
      <c r="H19" s="20"/>
      <c r="I19" s="145" t="s">
        <v>115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117</v>
      </c>
      <c r="B25" s="177">
        <v>30</v>
      </c>
    </row>
    <row r="27" spans="1:48">
      <c r="A27" s="14" t="s">
        <v>118</v>
      </c>
    </row>
    <row r="29" spans="1:48">
      <c r="A29" s="45" t="s">
        <v>119</v>
      </c>
      <c r="B29" s="156"/>
    </row>
    <row r="30" spans="1:48">
      <c r="A30" s="44" t="s">
        <v>120</v>
      </c>
      <c r="B30" s="157">
        <v>0</v>
      </c>
    </row>
    <row r="31" spans="1:48">
      <c r="A31" s="5" t="s">
        <v>121</v>
      </c>
      <c r="B31" s="158">
        <v>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96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96</v>
      </c>
    </row>
    <row r="45" spans="1:48">
      <c r="A45" s="56" t="s">
        <v>134</v>
      </c>
      <c r="B45" s="161">
        <v>1000000</v>
      </c>
    </row>
    <row r="46" spans="1:48" customHeight="1" ht="30">
      <c r="A46" s="57" t="s">
        <v>135</v>
      </c>
      <c r="B46" s="161">
        <v>280000</v>
      </c>
    </row>
    <row r="47" spans="1:48" customHeight="1" ht="30">
      <c r="A47" s="57" t="s">
        <v>136</v>
      </c>
      <c r="B47" s="161">
        <v>120000</v>
      </c>
    </row>
    <row r="48" spans="1:48" customHeight="1" ht="30">
      <c r="A48" s="57" t="s">
        <v>137</v>
      </c>
      <c r="B48" s="161">
        <v>250000</v>
      </c>
    </row>
    <row r="49" spans="1:48" customHeight="1" ht="30">
      <c r="A49" s="57" t="s">
        <v>138</v>
      </c>
      <c r="B49" s="161">
        <v>40000</v>
      </c>
    </row>
    <row r="50" spans="1:48">
      <c r="A50" s="43"/>
      <c r="B50" s="36"/>
    </row>
    <row r="51" spans="1:48">
      <c r="A51" s="58" t="s">
        <v>139</v>
      </c>
      <c r="B51" s="161">
        <v>20000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130000</v>
      </c>
      <c r="B56" s="159">
        <v>60000</v>
      </c>
      <c r="C56" s="162" t="s">
        <v>147</v>
      </c>
      <c r="D56" s="163" t="s">
        <v>148</v>
      </c>
      <c r="E56" s="163" t="s">
        <v>96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150</v>
      </c>
      <c r="C65" s="10" t="s">
        <v>151</v>
      </c>
    </row>
    <row r="66" spans="1:48">
      <c r="A66" s="142" t="s">
        <v>152</v>
      </c>
      <c r="B66" s="159">
        <v>95840</v>
      </c>
      <c r="C66" s="163">
        <v>84520</v>
      </c>
      <c r="D66" s="49">
        <f>INDEX(Parameters!$D$79:$D$90,MATCH(Inputs!A66,Parameters!$C$79:$C$90,0))</f>
        <v>11</v>
      </c>
    </row>
    <row r="67" spans="1:48">
      <c r="A67" s="143" t="s">
        <v>153</v>
      </c>
      <c r="B67" s="157">
        <v>78545</v>
      </c>
      <c r="C67" s="165">
        <v>65201</v>
      </c>
      <c r="D67" s="49">
        <f>INDEX(Parameters!$D$79:$D$90,MATCH(Inputs!A67,Parameters!$C$79:$C$90,0))</f>
        <v>12</v>
      </c>
    </row>
    <row r="68" spans="1:48">
      <c r="A68" s="143" t="s">
        <v>154</v>
      </c>
      <c r="B68" s="157">
        <v>727943</v>
      </c>
      <c r="C68" s="165">
        <v>111263</v>
      </c>
      <c r="D68" s="49">
        <f>INDEX(Parameters!$D$79:$D$90,MATCH(Inputs!A68,Parameters!$C$79:$C$90,0))</f>
        <v>1</v>
      </c>
    </row>
    <row r="69" spans="1:48">
      <c r="A69" s="143" t="s">
        <v>155</v>
      </c>
      <c r="B69" s="157">
        <v>99160</v>
      </c>
      <c r="C69" s="165">
        <v>84520</v>
      </c>
      <c r="D69" s="49">
        <f>INDEX(Parameters!$D$79:$D$90,MATCH(Inputs!A69,Parameters!$C$79:$C$90,0))</f>
        <v>2</v>
      </c>
    </row>
    <row r="70" spans="1:48">
      <c r="A70" s="143" t="s">
        <v>156</v>
      </c>
      <c r="B70" s="157">
        <v>72900</v>
      </c>
      <c r="C70" s="165">
        <v>65452</v>
      </c>
      <c r="D70" s="49">
        <f>INDEX(Parameters!$D$79:$D$90,MATCH(Inputs!A70,Parameters!$C$79:$C$90,0))</f>
        <v>3</v>
      </c>
    </row>
    <row r="71" spans="1:48">
      <c r="A71" s="144" t="s">
        <v>157</v>
      </c>
      <c r="B71" s="158">
        <v>82435</v>
      </c>
      <c r="C71" s="167">
        <v>91025</v>
      </c>
      <c r="D71" s="49">
        <f>INDEX(Parameters!$D$79:$D$90,MATCH(Inputs!A71,Parameters!$C$79:$C$90,0))</f>
        <v>4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12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100000</v>
      </c>
    </row>
    <row r="82" spans="1:48">
      <c r="A82" t="s">
        <v>167</v>
      </c>
      <c r="B82" s="161">
        <v>18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42856</v>
      </c>
      <c r="C4" s="38">
        <f>IFERROR(DATE(YEAR(B4),MONTH(B4)+ROUND(T4/2,0),DAY(B4)),B4)</f>
        <v>42856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8000</v>
      </c>
      <c r="M4" s="25">
        <f>L4*H4</f>
        <v>8000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159600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8750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42887</v>
      </c>
      <c r="C5" s="39">
        <f>IFERROR(DATE(YEAR(B5),MONTH(B5)+ROUND(T5/2,0),DAY(B5)),B5)</f>
        <v>42948</v>
      </c>
      <c r="D5" s="39">
        <f>IFERROR(DATE(YEAR(B5),MONTH(B5)+T5,DAY(B5)),"")</f>
        <v>43009</v>
      </c>
      <c r="E5" s="39">
        <f>IFERROR(IF($S5=0,"",IF($S5=2,DATE(YEAR(B5),MONTH(B5)+6,DAY(B5)),IF($S5=1,B5,""))),"")</f>
        <v>43070</v>
      </c>
      <c r="F5" s="39">
        <f>IFERROR(IF($S5=0,"",IF($S5=2,DATE(YEAR(C5),MONTH(C5)+6,DAY(C5)),IF($S5=1,C5,""))),"")</f>
        <v>43132</v>
      </c>
      <c r="G5" s="39">
        <f>IFERROR(IF($S5=0,"",IF($S5=2,DATE(YEAR(D5),MONTH(D5)+6,DAY(D5)),IF($S5=1,D5,""))),"")</f>
        <v>43191</v>
      </c>
      <c r="H5" s="16">
        <f>Inputs!C8</f>
        <v>0</v>
      </c>
      <c r="I5" s="138" t="str">
        <f>IFERROR(VLOOKUP(Inputs!E8,Parameters!$J$77:$K$81,2,0),"")</f>
        <v>No</v>
      </c>
      <c r="J5" s="27" t="str">
        <f>IFERROR(Inputs!G8/Calculations!H5,"")</f>
        <v/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379.7120504875373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Tomatoes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42887</v>
      </c>
      <c r="C6" s="39">
        <f>IFERROR(DATE(YEAR(B6),MONTH(B6)+ROUND(T6/2,0),DAY(B6)),B6)</f>
        <v>42948</v>
      </c>
      <c r="D6" s="39">
        <f>IFERROR(DATE(YEAR(B6),MONTH(B6)+T6,DAY(B6)),"")</f>
        <v>42979</v>
      </c>
      <c r="E6" s="39">
        <f>IFERROR(IF($S6=0,"",IF($S6=2,DATE(YEAR(B6),MONTH(B6)+6,DAY(B6)),IF($S6=1,B6,""))),"")</f>
        <v>43070</v>
      </c>
      <c r="F6" s="39">
        <f>IFERROR(IF($S6=0,"",IF($S6=2,DATE(YEAR(C6),MONTH(C6)+6,DAY(C6)),IF($S6=1,C6,""))),"")</f>
        <v>43132</v>
      </c>
      <c r="G6" s="39">
        <f>IFERROR(IF($S6=0,"",IF($S6=2,DATE(YEAR(D6),MONTH(D6)+6,DAY(D6)),IF($S6=1,D6,""))),"")</f>
        <v>43160</v>
      </c>
      <c r="H6" s="16">
        <f>Inputs!C9</f>
        <v>2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3933.029533398966</v>
      </c>
      <c r="M6" s="30">
        <f>L6*H6</f>
        <v>7866.059066797932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35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523092.9279420625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1500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9000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49000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Cabbages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42856</v>
      </c>
      <c r="C7" s="39">
        <f>IFERROR(DATE(YEAR(B7),MONTH(B7)+ROUND(T7/2,0),DAY(B7)),B7)</f>
        <v>42917</v>
      </c>
      <c r="D7" s="39">
        <f>IFERROR(DATE(YEAR(B7),MONTH(B7)+T7,DAY(B7)),"")</f>
        <v>42948</v>
      </c>
      <c r="E7" s="39">
        <f>IFERROR(IF($S7=0,"",IF($S7=2,DATE(YEAR(B7),MONTH(B7)+6,DAY(B7)),IF($S7=1,B7,""))),"")</f>
        <v>43040</v>
      </c>
      <c r="F7" s="39">
        <f>IFERROR(IF($S7=0,"",IF($S7=2,DATE(YEAR(C7),MONTH(C7)+6,DAY(C7)),IF($S7=1,C7,""))),"")</f>
        <v>43101</v>
      </c>
      <c r="G7" s="39">
        <f>IFERROR(IF($S7=0,"",IF($S7=2,DATE(YEAR(D7),MONTH(D7)+6,DAY(D7)),IF($S7=1,D7,""))),"")</f>
        <v>43132</v>
      </c>
      <c r="H7" s="16">
        <f>Inputs!C10</f>
        <v>1</v>
      </c>
      <c r="I7" s="138" t="str">
        <f>IFERROR(VLOOKUP(Inputs!E10,Parameters!$J$77:$K$81,2,0),"")</f>
        <v>No</v>
      </c>
      <c r="J7" s="27">
        <f>IFERROR(Inputs!G10/Calculations!H7,"")</f>
        <v>0</v>
      </c>
      <c r="K7" s="27">
        <f>IFERROR(INDEX(Parameters!$A$3:$V$17,MATCH(Calculations!$A7,Parameters!$A$3:$A$17,0),MATCH(Parameters!$I$3,Parameters!$A$3:$V$3,0)),0)</f>
        <v>120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7207.992377007091</v>
      </c>
      <c r="M7" s="30">
        <f>L7*H7</f>
        <v>7207.992377007091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14</v>
      </c>
      <c r="P7" s="22">
        <f>IFERROR(INDEX(Parameters!$A$3:$V$17,MATCH(Calculations!$A7,Parameters!$A$3:$A$17,0),MATCH($P$3,Parameters!$A$3:$V$3,0)),0)</f>
        <v>0</v>
      </c>
      <c r="Q7" s="34">
        <f>IFERROR(M7*O7*(1-N7)*MAX(S7,1),0)</f>
        <v>201823.7865561986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2</v>
      </c>
      <c r="T7" s="30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3</v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606</v>
      </c>
      <c r="W7" s="34">
        <f>IFERROR(J7*H7*Parameters!$B$35+IF(OR(Inputs!F10=Parameters!$E$78,Inputs!F10=Parameters!$E$80),Calculations!H7*Parameters!$B$36,0),0)</f>
        <v>2000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2800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10500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102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130000</v>
      </c>
      <c r="B23" s="75">
        <f>SUM(C23:D23)</f>
        <v>8487.984496124031</v>
      </c>
      <c r="C23" s="75">
        <f>IF(Inputs!B56&gt;0,(Inputs!A56-Inputs!B56)/(DATE(YEAR(Inputs!$B$76),MONTH(Inputs!$B$76),DAY(Inputs!$B$76))-DATE(YEAR(Inputs!C56),MONTH(Inputs!C56),DAY(Inputs!C56)))*30,0)</f>
        <v>6104.651162790698</v>
      </c>
      <c r="D23" s="75">
        <f>IF(Inputs!B56&gt;0,Inputs!A56*0.22/12,0)</f>
        <v>2383.333333333333</v>
      </c>
      <c r="E23" s="75">
        <f>IFERROR(ROUNDUP(Inputs!B56/C23,0),0)</f>
        <v>10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42906</v>
      </c>
      <c r="C33" s="27">
        <f>IF(B33&lt;&gt;"",IF(COUNT($A$33:A33)&lt;=$G$39,0,$G$41)+IF(COUNT($A$33:A33)&lt;=$G$40,0,$G$42),0)</f>
        <v>9833.333333333334</v>
      </c>
      <c r="D33" s="170">
        <f>IFERROR(DATE(YEAR(B33),MONTH(B33),1)," ")</f>
        <v>42887</v>
      </c>
      <c r="F33" t="s">
        <v>163</v>
      </c>
      <c r="G33" s="128">
        <f>IF(Inputs!B79="","",DATE(YEAR(Inputs!B79),MONTH(Inputs!B79),DAY(Inputs!B79)))</f>
        <v>42872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42936</v>
      </c>
      <c r="C34" s="27">
        <f>IF(B34&lt;&gt;"",IF(COUNT($A$33:A34)&lt;=$G$39,0,$G$41)+IF(COUNT($A$33:A34)&lt;=$G$40,0,$G$42),0)</f>
        <v>9833.333333333334</v>
      </c>
      <c r="D34" s="170">
        <f>IFERROR(DATE(YEAR(B34),MONTH(B34),1)," ")</f>
        <v>42917</v>
      </c>
      <c r="F34" t="s">
        <v>164</v>
      </c>
      <c r="G34" s="128">
        <f>IF(Inputs!B80="","",DATE(YEAR(Inputs!B80),MONTH(Inputs!B80),DAY(Inputs!B80)))</f>
        <v>42906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42967</v>
      </c>
      <c r="C35" s="27">
        <f>IF(B35&lt;&gt;"",IF(COUNT($A$33:A35)&lt;=$G$39,0,$G$41)+IF(COUNT($A$33:A35)&lt;=$G$40,0,$G$42),0)</f>
        <v>9833.333333333334</v>
      </c>
      <c r="D35" s="170">
        <f>IFERROR(DATE(YEAR(B35),MONTH(B35),1)," ")</f>
        <v>42948</v>
      </c>
      <c r="F35" t="s">
        <v>166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42998</v>
      </c>
      <c r="C36" s="27">
        <f>IF(B36&lt;&gt;"",IF(COUNT($A$33:A36)&lt;=$G$39,0,$G$41)+IF(COUNT($A$33:A36)&lt;=$G$40,0,$G$42),0)</f>
        <v>9833.333333333334</v>
      </c>
      <c r="D36" s="170">
        <f>IFERROR(DATE(YEAR(B36),MONTH(B36),1)," ")</f>
        <v>42979</v>
      </c>
      <c r="F36" t="s">
        <v>167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43028</v>
      </c>
      <c r="C37" s="27">
        <f>IF(B37&lt;&gt;"",IF(COUNT($A$33:A37)&lt;=$G$39,0,$G$41)+IF(COUNT($A$33:A37)&lt;=$G$40,0,$G$42),0)</f>
        <v>9833.333333333334</v>
      </c>
      <c r="D37" s="170">
        <f>IFERROR(DATE(YEAR(B37),MONTH(B37),1)," ")</f>
        <v>43009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43059</v>
      </c>
      <c r="C38" s="27">
        <f>IF(B38&lt;&gt;"",IF(COUNT($A$33:A38)&lt;=$G$39,0,$G$41)+IF(COUNT($A$33:A38)&lt;=$G$40,0,$G$42),0)</f>
        <v>9833.333333333334</v>
      </c>
      <c r="D38" s="170">
        <f>IFERROR(DATE(YEAR(B38),MONTH(B38),1)," ")</f>
        <v>43040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43089</v>
      </c>
      <c r="C39" s="27">
        <f>IF(B39&lt;&gt;"",IF(COUNT($A$33:A39)&lt;=$G$39,0,$G$41)+IF(COUNT($A$33:A39)&lt;=$G$40,0,$G$42),0)</f>
        <v>9833.333333333334</v>
      </c>
      <c r="D39" s="170">
        <f>IFERROR(DATE(YEAR(B39),MONTH(B39),1)," ")</f>
        <v>43070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43120</v>
      </c>
      <c r="C40" s="27">
        <f>IF(B40&lt;&gt;"",IF(COUNT($A$33:A40)&lt;=$G$39,0,$G$41)+IF(COUNT($A$33:A40)&lt;=$G$40,0,$G$42),0)</f>
        <v>9833.333333333334</v>
      </c>
      <c r="D40" s="170">
        <f>IFERROR(DATE(YEAR(B40),MONTH(B40),1)," ")</f>
        <v>43101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43151</v>
      </c>
      <c r="C41" s="27">
        <f>IF(B41&lt;&gt;"",IF(COUNT($A$33:A41)&lt;=$G$39,0,$G$41)+IF(COUNT($A$33:A41)&lt;=$G$40,0,$G$42),0)</f>
        <v>9833.333333333334</v>
      </c>
      <c r="D41" s="170">
        <f>IFERROR(DATE(YEAR(B41),MONTH(B41),1)," ")</f>
        <v>43132</v>
      </c>
      <c r="F41" t="s">
        <v>230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43179</v>
      </c>
      <c r="C42" s="27">
        <f>IF(B42&lt;&gt;"",IF(COUNT($A$33:A42)&lt;=$G$39,0,$G$41)+IF(COUNT($A$33:A42)&lt;=$G$40,0,$G$42),0)</f>
        <v>9833.333333333334</v>
      </c>
      <c r="D42" s="170">
        <f>IFERROR(DATE(YEAR(B42),MONTH(B42),1)," ")</f>
        <v>43160</v>
      </c>
      <c r="F42" t="s">
        <v>231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43210</v>
      </c>
      <c r="C43" s="27">
        <f>IF(B43&lt;&gt;"",IF(COUNT($A$33:A43)&lt;=$G$39,0,$G$41)+IF(COUNT($A$33:A43)&lt;=$G$40,0,$G$42),0)</f>
        <v>9833.333333333334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43240</v>
      </c>
      <c r="C44" s="27">
        <f>IF(B44&lt;&gt;"",IF(COUNT($A$33:A44)&lt;=$G$39,0,$G$41)+IF(COUNT($A$33:A44)&lt;=$G$40,0,$G$42),0)</f>
        <v>9833.333333333334</v>
      </c>
      <c r="D44" s="170">
        <f>IFERROR(DATE(YEAR(B44),MONTH(B44),1)," ")</f>
        <v>43221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100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204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114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297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297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297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297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102</v>
      </c>
      <c r="B41" s="191" t="s">
        <v>92</v>
      </c>
      <c r="C41" s="191" t="s">
        <v>96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114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314</v>
      </c>
      <c r="H52" s="12" t="s">
        <v>132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232</v>
      </c>
      <c r="E53" s="10" t="s">
        <v>191</v>
      </c>
      <c r="F53" s="10" t="s">
        <v>251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169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228</v>
      </c>
      <c r="J76" s="11" t="s">
        <v>348</v>
      </c>
      <c r="K76" s="11" t="s">
        <v>181</v>
      </c>
      <c r="AJ76" s="12"/>
    </row>
    <row r="77" spans="1:36">
      <c r="A77" t="s">
        <v>96</v>
      </c>
      <c r="B77" s="176">
        <v>0</v>
      </c>
      <c r="C77" s="12" t="s">
        <v>349</v>
      </c>
      <c r="E77" s="12" t="s">
        <v>92</v>
      </c>
      <c r="F77" s="12" t="s">
        <v>92</v>
      </c>
      <c r="G77" s="12" t="s">
        <v>350</v>
      </c>
      <c r="H77" s="12" t="s">
        <v>132</v>
      </c>
      <c r="I77" s="12" t="s">
        <v>351</v>
      </c>
      <c r="J77" s="136" t="s">
        <v>352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115</v>
      </c>
      <c r="H78" s="12" t="s">
        <v>315</v>
      </c>
      <c r="I78" s="12" t="s">
        <v>356</v>
      </c>
      <c r="J78" s="70" t="s">
        <v>357</v>
      </c>
      <c r="K78" s="12" t="s">
        <v>92</v>
      </c>
      <c r="AJ78" s="12"/>
    </row>
    <row r="79" spans="1:36">
      <c r="B79" s="176">
        <v>10</v>
      </c>
      <c r="C79" s="12" t="s">
        <v>154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169</v>
      </c>
      <c r="J79" s="70" t="s">
        <v>95</v>
      </c>
      <c r="K79" s="12" t="s">
        <v>92</v>
      </c>
      <c r="AJ79" s="12"/>
    </row>
    <row r="80" spans="1:36">
      <c r="B80" s="176">
        <v>20</v>
      </c>
      <c r="C80" s="12" t="s">
        <v>155</v>
      </c>
      <c r="D80" s="12">
        <f>D79+1</f>
        <v>2</v>
      </c>
      <c r="E80" s="12" t="s">
        <v>91</v>
      </c>
      <c r="F80" s="12" t="s">
        <v>97</v>
      </c>
      <c r="J80" s="70" t="s">
        <v>90</v>
      </c>
      <c r="K80" s="12" t="s">
        <v>96</v>
      </c>
      <c r="AJ80" s="12"/>
    </row>
    <row r="81" spans="1:36">
      <c r="B81" s="176">
        <v>30</v>
      </c>
      <c r="C81" s="12" t="s">
        <v>156</v>
      </c>
      <c r="D81" s="12">
        <f>D80+1</f>
        <v>3</v>
      </c>
      <c r="J81" s="70" t="s">
        <v>361</v>
      </c>
      <c r="K81" s="12" t="s">
        <v>96</v>
      </c>
    </row>
    <row r="82" spans="1:36">
      <c r="B82" s="176">
        <v>40</v>
      </c>
      <c r="C82" s="12" t="s">
        <v>157</v>
      </c>
      <c r="D82" s="12">
        <f>D81+1</f>
        <v>4</v>
      </c>
      <c r="J82" s="70"/>
    </row>
    <row r="83" spans="1:36">
      <c r="B83" s="176">
        <v>50</v>
      </c>
      <c r="C83" s="12" t="s">
        <v>93</v>
      </c>
      <c r="D83" s="12">
        <f>D82+1</f>
        <v>5</v>
      </c>
    </row>
    <row r="84" spans="1:36">
      <c r="B84" s="176">
        <v>60</v>
      </c>
      <c r="C84" s="12" t="s">
        <v>98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153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