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<sst xmlns="http://schemas.openxmlformats.org/spreadsheetml/2006/main" uniqueCount="368">
  <si>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</si>
  <si>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</si>
  <si>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</si>
  <si>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</si>
  <si>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</si>
  <si>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</si>
  <si>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</si>
  <si>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</si>
  <si>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</si>
  <si>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</si>
  <si>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</si>
  <si>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</si>
  <si>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</si>
  <si>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</si>
  <si>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</si>
  <si>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</si>
  <si>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</si>
  <si>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</si>
  <si>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</si>
  <si>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</si>
  <si>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</si>
  <si>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</si>
  <si>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</si>
  <si>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</si>
  <si>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</si>
  <si>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</si>
  <si>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</si>
  <si>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</si>
  <si>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</si>
  <si>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</si>
  <si>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</si>
  <si>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</si>
  <si>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</si>
  <si>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</si>
  <si>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</si>
  <si>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</si>
  <si>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</si>
  <si>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</si>
  <si>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</si>
  <si>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</si>
  <si>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</si>
  <si>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</si>
  <si>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</si>
  <si>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</si>
  <si>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</si>
  <si>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</si>
  <si>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</si>
  <si>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</si>
  <si>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</si>
  <si>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</si>
  <si>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</si>
  <si>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</si>
  <si>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</si>
  <si>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</si>
  <si>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</si>
  <si>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</si>
  <si>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</si>
  <si>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</si>
  <si>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</si>
  <si>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</si>
  <si>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</si>
  <si>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</si>
  <si>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</si>
  <si>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</si>
  <si>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</si>
  <si>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</si>
  <si>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</si>
  <si>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</si>
  <si>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</si>
  <si>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</si>
  <si>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</si>
  <si>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</si>
  <si>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</si>
  <si>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</si>
  <si>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</si>
  <si>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</si>
  <si>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</si>
  <si>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</si>
  <si>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</si>
  <si>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</si>
  <si>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</si>
  <si>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</si>
  <si>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</si>
  <si>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</si>
  <si>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</si>
  <si>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</si>
  <si>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</si>
  <si>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</si>
  <si>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</si>
  <si>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</si>
  <si>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</si>
  <si>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</si>
  <si>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</si>
  <si>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</si>
  <si>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</si>
  <si>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</si>
  <si>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</si>
  <si>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</si>
  <si>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</si>
  <si>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</si>
  <si>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</si>
  <si>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</si>
  <si>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</si>
  <si>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</si>
  <si>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</si>
  <si>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</si>
  <si>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</si>
  <si>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</si>
  <si>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</si>
  <si>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</si>
  <si>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</si>
  <si>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</si>
  <si>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 and posho mill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</si>
  <si>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</si>
  <si>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</si>
  <si>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</si>
  <si>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</si>
  <si>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</si>
  <si>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</si>
  <si>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</si>
  <si>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</si>
  <si>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</si>
  <si>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</si>
  <si>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</si>
  <si>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</si>
  <si>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</si>
  <si>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</si>
  <si>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</si>
  <si>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</si>
  <si>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</si>
  <si>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</si>
  <si>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</si>
  <si>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</si>
  <si>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</si>
  <si>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</si>
  <si>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</si>
  <si>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</si>
  <si>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</si>
  <si>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</si>
  <si>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</si>
  <si>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1/16/2017</t>
  </si>
  <si>
    <t>National bank</t>
  </si>
  <si>
    <t xml:space="preserve">Good loan repayment history 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</si>
  <si>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</si>
  <si>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</si>
  <si>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</si>
  <si>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</si>
  <si>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</si>
  <si>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</si>
  <si>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</si>
  <si>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</si>
  <si>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</si>
  <si>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</si>
  <si>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</si>
  <si>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</si>
  <si>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2017/5/23</t>
  </si>
  <si>
    <t>Loan terms</t>
  </si>
  <si>
    <t>Expected disbursement date</t>
  </si>
  <si>
    <t>Expected first repayment date</t>
  </si>
  <si>
    <t>2017/6/23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</si>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</sst>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June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shop and posho mill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31.10993780923126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2018</v>
      </c>
    </row>
    <row r="13" spans="1:7">
      <c r="B13" s="1" t="s">
        <v>8</v>
      </c>
      <c r="C13" s="67">
        <f>IFERROR(Output!B107/Output!B101,"")</f>
        <v>0.04205138186064616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29500</v>
      </c>
    </row>
    <row r="17" spans="1:7">
      <c r="B17" s="1" t="s">
        <v>11</v>
      </c>
      <c r="C17" s="36">
        <f>SUM(Output!B6:M6)</f>
        <v>-12233.64897847759</v>
      </c>
    </row>
    <row r="18" spans="1:7">
      <c r="B18" s="1" t="s">
        <v>12</v>
      </c>
      <c r="C18" s="36">
        <f>MIN(Output!B6:M6)</f>
        <v>-338228.8494299546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866450.4738427514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660726</v>
      </c>
    </row>
    <row r="25" spans="1:7">
      <c r="B25" s="1" t="s">
        <v>18</v>
      </c>
      <c r="C25" s="36">
        <f>MAX(Inputs!A56:A60)</f>
        <v>660726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-338228.8494299546</v>
      </c>
      <c r="C6" s="51">
        <f>C30-C88</f>
        <v>-153988.8494299546</v>
      </c>
      <c r="D6" s="51">
        <f>D30-D88</f>
        <v>-153988.8494299546</v>
      </c>
      <c r="E6" s="51">
        <f>E30-E88</f>
        <v>-177988.8494299546</v>
      </c>
      <c r="F6" s="51">
        <f>F30-F88</f>
        <v>-153988.8494299546</v>
      </c>
      <c r="G6" s="51">
        <f>G30-G88</f>
        <v>-153988.8494299546</v>
      </c>
      <c r="H6" s="51">
        <f>H30-H88</f>
        <v>254346.6266189243</v>
      </c>
      <c r="I6" s="51">
        <f>I30-I88</f>
        <v>866450.4738427514</v>
      </c>
      <c r="J6" s="51">
        <f>J30-J88</f>
        <v>-42903.13514424031</v>
      </c>
      <c r="K6" s="51">
        <f>K30-K88</f>
        <v>4168.754619539235</v>
      </c>
      <c r="L6" s="51">
        <f>L30-L88</f>
        <v>18938.36383213765</v>
      </c>
      <c r="M6" s="51">
        <f>M30-M88</f>
        <v>18938.36383213765</v>
      </c>
      <c r="N6" s="51">
        <f>N30-N88</f>
        <v>-276387.3504535767</v>
      </c>
      <c r="O6" s="51">
        <f>O30-O88</f>
        <v>-92147.35045357666</v>
      </c>
      <c r="P6" s="51">
        <f>P30-P88</f>
        <v>-92147.35045357666</v>
      </c>
      <c r="Q6" s="51">
        <f>Q30-Q88</f>
        <v>-116147.3504535767</v>
      </c>
      <c r="R6" s="51">
        <f>R30-R88</f>
        <v>-92147.35045357666</v>
      </c>
      <c r="S6" s="51">
        <f>S30-S88</f>
        <v>-92147.35045357666</v>
      </c>
      <c r="T6" s="51">
        <f>T30-T88</f>
        <v>316188.1255953023</v>
      </c>
      <c r="U6" s="51">
        <f>U30-U88</f>
        <v>928291.9728191294</v>
      </c>
      <c r="V6" s="51">
        <f>V30-V88</f>
        <v>18938.36383213765</v>
      </c>
      <c r="W6" s="51">
        <f>W30-W88</f>
        <v>18938.36383213765</v>
      </c>
      <c r="X6" s="51">
        <f>X30-X88</f>
        <v>18938.36383213765</v>
      </c>
      <c r="Y6" s="51">
        <f>Y30-Y88</f>
        <v>18938.36383213765</v>
      </c>
      <c r="Z6" s="51">
        <f>SUMIF($B$13:$Y$13,"Yes",B6:Y6)</f>
        <v>-288620.9994320542</v>
      </c>
      <c r="AA6" s="51">
        <f>AA30-AA88</f>
        <v>-12233.64897847781</v>
      </c>
      <c r="AB6" s="51">
        <f>AB30-AB88</f>
        <v>546875.8020430445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22908</v>
      </c>
      <c r="I7" s="80">
        <f>IF(ISERROR(VLOOKUP(MONTH(I5),Inputs!$D$66:$D$71,1,0)),"",INDEX(Inputs!$B$66:$B$71,MATCH(MONTH(Output!I5),Inputs!$D$66:$D$71,0))-INDEX(Inputs!$C$66:$C$71,MATCH(MONTH(Output!I5),Inputs!$D$66:$D$71,0)))</f>
        <v>38556</v>
      </c>
      <c r="J7" s="80">
        <f>IF(ISERROR(VLOOKUP(MONTH(J5),Inputs!$D$66:$D$71,1,0)),"",INDEX(Inputs!$B$66:$B$71,MATCH(MONTH(Output!J5),Inputs!$D$66:$D$71,0))-INDEX(Inputs!$C$66:$C$71,MATCH(MONTH(Output!J5),Inputs!$D$66:$D$71,0)))</f>
        <v>57792</v>
      </c>
      <c r="K7" s="80">
        <f>IF(ISERROR(VLOOKUP(MONTH(K5),Inputs!$D$66:$D$71,1,0)),"",INDEX(Inputs!$B$66:$B$71,MATCH(MONTH(Output!K5),Inputs!$D$66:$D$71,0))-INDEX(Inputs!$C$66:$C$71,MATCH(MONTH(Output!K5),Inputs!$D$66:$D$71,0)))</f>
        <v>17678</v>
      </c>
      <c r="L7" s="80">
        <f>IF(ISERROR(VLOOKUP(MONTH(L5),Inputs!$D$66:$D$71,1,0)),"",INDEX(Inputs!$B$66:$B$71,MATCH(MONTH(Output!L5),Inputs!$D$66:$D$71,0))-INDEX(Inputs!$C$66:$C$71,MATCH(MONTH(Output!L5),Inputs!$D$66:$D$71,0)))</f>
        <v>52871</v>
      </c>
      <c r="M7" s="80">
        <f>IF(ISERROR(VLOOKUP(MONTH(M5),Inputs!$D$66:$D$71,1,0)),"",INDEX(Inputs!$B$66:$B$71,MATCH(MONTH(Output!M5),Inputs!$D$66:$D$71,0))-INDEX(Inputs!$C$66:$C$71,MATCH(MONTH(Output!M5),Inputs!$D$66:$D$71,0)))</f>
        <v>38453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22908</v>
      </c>
      <c r="U7" s="80">
        <f>IF(ISERROR(VLOOKUP(MONTH(U5),Inputs!$D$66:$D$71,1,0)),"",INDEX(Inputs!$B$66:$B$71,MATCH(MONTH(Output!U5),Inputs!$D$66:$D$71,0))-INDEX(Inputs!$C$66:$C$71,MATCH(MONTH(Output!U5),Inputs!$D$66:$D$71,0)))</f>
        <v>38556</v>
      </c>
      <c r="V7" s="80">
        <f>IF(ISERROR(VLOOKUP(MONTH(V5),Inputs!$D$66:$D$71,1,0)),"",INDEX(Inputs!$B$66:$B$71,MATCH(MONTH(Output!V5),Inputs!$D$66:$D$71,0))-INDEX(Inputs!$C$66:$C$71,MATCH(MONTH(Output!V5),Inputs!$D$66:$D$71,0)))</f>
        <v>57792</v>
      </c>
      <c r="W7" s="80">
        <f>IF(ISERROR(VLOOKUP(MONTH(W5),Inputs!$D$66:$D$71,1,0)),"",INDEX(Inputs!$B$66:$B$71,MATCH(MONTH(Output!W5),Inputs!$D$66:$D$71,0))-INDEX(Inputs!$C$66:$C$71,MATCH(MONTH(Output!W5),Inputs!$D$66:$D$71,0)))</f>
        <v>17678</v>
      </c>
      <c r="X7" s="80">
        <f>IF(ISERROR(VLOOKUP(MONTH(X5),Inputs!$D$66:$D$71,1,0)),"",INDEX(Inputs!$B$66:$B$71,MATCH(MONTH(Output!X5),Inputs!$D$66:$D$71,0))-INDEX(Inputs!$C$66:$C$71,MATCH(MONTH(Output!X5),Inputs!$D$66:$D$71,0)))</f>
        <v>52871</v>
      </c>
      <c r="Y7" s="80">
        <f>IF(ISERROR(VLOOKUP(MONTH(Y5),Inputs!$D$66:$D$71,1,0)),"",INDEX(Inputs!$B$66:$B$71,MATCH(MONTH(Output!Y5),Inputs!$D$66:$D$71,0))-INDEX(Inputs!$C$66:$C$71,MATCH(MONTH(Output!Y5),Inputs!$D$66:$D$71,0)))</f>
        <v>38453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29500</v>
      </c>
      <c r="D10" s="37">
        <f>SUMPRODUCT((Calculations!$D$33:$D$84=Output!D5)+0,Calculations!$C$33:$C$84)</f>
        <v>29500</v>
      </c>
      <c r="E10" s="37">
        <f>SUMPRODUCT((Calculations!$D$33:$D$84=Output!E5)+0,Calculations!$C$33:$C$84)</f>
        <v>29500</v>
      </c>
      <c r="F10" s="37">
        <f>SUMPRODUCT((Calculations!$D$33:$D$84=Output!F5)+0,Calculations!$C$33:$C$84)</f>
        <v>29500</v>
      </c>
      <c r="G10" s="37">
        <f>SUMPRODUCT((Calculations!$D$33:$D$84=Output!G5)+0,Calculations!$C$33:$C$84)</f>
        <v>29500</v>
      </c>
      <c r="H10" s="37">
        <f>SUMPRODUCT((Calculations!$D$33:$D$84=Output!H5)+0,Calculations!$C$33:$C$84)</f>
        <v>29500</v>
      </c>
      <c r="I10" s="37">
        <f>SUMPRODUCT((Calculations!$D$33:$D$84=Output!I5)+0,Calculations!$C$33:$C$84)</f>
        <v>29500</v>
      </c>
      <c r="J10" s="37">
        <f>SUMPRODUCT((Calculations!$D$33:$D$84=Output!J5)+0,Calculations!$C$33:$C$84)</f>
        <v>29500</v>
      </c>
      <c r="K10" s="37">
        <f>SUMPRODUCT((Calculations!$D$33:$D$84=Output!K5)+0,Calculations!$C$33:$C$84)</f>
        <v>29500</v>
      </c>
      <c r="L10" s="37">
        <f>SUMPRODUCT((Calculations!$D$33:$D$84=Output!L5)+0,Calculations!$C$33:$C$84)</f>
        <v>29500</v>
      </c>
      <c r="M10" s="37">
        <f>SUMPRODUCT((Calculations!$D$33:$D$84=Output!M5)+0,Calculations!$C$33:$C$84)</f>
        <v>29500</v>
      </c>
      <c r="N10" s="37">
        <f>SUMPRODUCT((Calculations!$D$33:$D$84=Output!N5)+0,Calculations!$C$33:$C$84)</f>
        <v>29500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354000</v>
      </c>
      <c r="AA10" s="37">
        <f>SUM(B10:M10)</f>
        <v>324500</v>
      </c>
      <c r="AB10" s="37">
        <f>SUM(B10:Y10)</f>
        <v>354000</v>
      </c>
    </row>
    <row r="11" spans="1:30" customHeight="1" ht="15.75">
      <c r="A11" s="43" t="s">
        <v>31</v>
      </c>
      <c r="B11" s="80">
        <f>B6+B9-B10</f>
        <v>-38228.8494299546</v>
      </c>
      <c r="C11" s="80">
        <f>C6+C9-C10</f>
        <v>-183488.8494299546</v>
      </c>
      <c r="D11" s="80">
        <f>D6+D9-D10</f>
        <v>-183488.8494299546</v>
      </c>
      <c r="E11" s="80">
        <f>E6+E9-E10</f>
        <v>-207488.8494299546</v>
      </c>
      <c r="F11" s="80">
        <f>F6+F9-F10</f>
        <v>-183488.8494299546</v>
      </c>
      <c r="G11" s="80">
        <f>G6+G9-G10</f>
        <v>-183488.8494299546</v>
      </c>
      <c r="H11" s="80">
        <f>H6+H9-H10</f>
        <v>224846.6266189243</v>
      </c>
      <c r="I11" s="80">
        <f>I6+I9-I10</f>
        <v>836950.4738427514</v>
      </c>
      <c r="J11" s="80">
        <f>J6+J9-J10</f>
        <v>-72403.13514424031</v>
      </c>
      <c r="K11" s="80">
        <f>K6+K9-K10</f>
        <v>-25331.24538046076</v>
      </c>
      <c r="L11" s="80">
        <f>L6+L9-L10</f>
        <v>-10561.63616786235</v>
      </c>
      <c r="M11" s="80">
        <f>M6+M9-M10</f>
        <v>-10561.63616786235</v>
      </c>
      <c r="N11" s="80">
        <f>N6+N9-N10</f>
        <v>-305887.3504535767</v>
      </c>
      <c r="O11" s="80">
        <f>O6+O9-O10</f>
        <v>-92147.35045357666</v>
      </c>
      <c r="P11" s="80">
        <f>P6+P9-P10</f>
        <v>-92147.35045357666</v>
      </c>
      <c r="Q11" s="80">
        <f>Q6+Q9-Q10</f>
        <v>-116147.3504535767</v>
      </c>
      <c r="R11" s="80">
        <f>R6+R9-R10</f>
        <v>-92147.35045357666</v>
      </c>
      <c r="S11" s="80">
        <f>S6+S9-S10</f>
        <v>-92147.35045357666</v>
      </c>
      <c r="T11" s="80">
        <f>T6+T9-T10</f>
        <v>316188.1255953023</v>
      </c>
      <c r="U11" s="80">
        <f>U6+U9-U10</f>
        <v>928291.9728191294</v>
      </c>
      <c r="V11" s="80">
        <f>V6+V9-V10</f>
        <v>18938.36383213765</v>
      </c>
      <c r="W11" s="80">
        <f>W6+W9-W10</f>
        <v>18938.36383213765</v>
      </c>
      <c r="X11" s="80">
        <f>X6+X9-X10</f>
        <v>18938.36383213765</v>
      </c>
      <c r="Y11" s="80">
        <f>Y6+Y9-Y10</f>
        <v>18938.36383213765</v>
      </c>
      <c r="Z11" s="85">
        <f>SUMIF($B$13:$Y$13,"Yes",B11:Y11)</f>
        <v>-342620.9994320542</v>
      </c>
      <c r="AA11" s="80">
        <f>SUM(B11:M11)</f>
        <v>-36733.64897847759</v>
      </c>
      <c r="AB11" s="46">
        <f>SUM(B11:Y11)</f>
        <v>492875.8020430448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0.7154637078780939</v>
      </c>
      <c r="J12" s="82">
        <f>IF(J13="Yes",IF(SUM($B$10:J10)/(SUM($B$6:J6)+SUM($B$9:J9))&lt;0,999.99,SUM($B$10:J10)/(SUM($B$6:J6)+SUM($B$9:J9))),"")</f>
        <v>0.9604393847879306</v>
      </c>
      <c r="K12" s="82">
        <f>IF(K13="Yes",IF(SUM($B$10:K10)/(SUM($B$6:K6)+SUM($B$9:K9))&lt;0,999.99,SUM($B$10:K10)/(SUM($B$6:K6)+SUM($B$9:K9))),"")</f>
        <v>1.062469087083444</v>
      </c>
      <c r="L12" s="82">
        <f>IF(L13="Yes",IF(SUM($B$10:L10)/(SUM($B$6:L6)+SUM($B$9:L9))&lt;0,999.99,SUM($B$10:L10)/(SUM($B$6:L6)+SUM($B$9:L9))),"")</f>
        <v>1.097355982478779</v>
      </c>
      <c r="M12" s="82">
        <f>IF(M13="Yes",IF(SUM($B$10:M10)/(SUM($B$6:M6)+SUM($B$9:M9))&lt;0,999.99,SUM($B$10:M10)/(SUM($B$6:M6)+SUM($B$9:M9))),"")</f>
        <v>1.127650953101637</v>
      </c>
      <c r="N12" s="82">
        <f>IF(N13="Yes",IF(SUM($B$10:N10)/(SUM($B$6:N6)+SUM($B$9:N9))&lt;0,999.99,SUM($B$10:N10)/(SUM($B$6:N6)+SUM($B$9:N9))),"")</f>
        <v>31.10993780923126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757794.6741558264</v>
      </c>
      <c r="I18" s="36">
        <f>U18</f>
        <v>909353.6089869917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757794.6741558264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909353.6089869917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1667148.283142818</v>
      </c>
      <c r="AA18" s="36">
        <f>SUM(B18:M18)</f>
        <v>1667148.283142818</v>
      </c>
      <c r="AB18" s="36">
        <f>SUM(B18:Y18)</f>
        <v>3334296.566285636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55000</v>
      </c>
      <c r="C29" s="37">
        <f>Inputs!$B$30</f>
        <v>55000</v>
      </c>
      <c r="D29" s="37">
        <f>Inputs!$B$30</f>
        <v>55000</v>
      </c>
      <c r="E29" s="37">
        <f>Inputs!$B$30</f>
        <v>55000</v>
      </c>
      <c r="F29" s="37">
        <f>Inputs!$B$30</f>
        <v>55000</v>
      </c>
      <c r="G29" s="37">
        <f>Inputs!$B$30</f>
        <v>55000</v>
      </c>
      <c r="H29" s="37">
        <f>Inputs!$B$30</f>
        <v>55000</v>
      </c>
      <c r="I29" s="37">
        <f>Inputs!$B$30</f>
        <v>55000</v>
      </c>
      <c r="J29" s="37">
        <f>Inputs!$B$30</f>
        <v>55000</v>
      </c>
      <c r="K29" s="37">
        <f>Inputs!$B$30</f>
        <v>55000</v>
      </c>
      <c r="L29" s="37">
        <f>Inputs!$B$30</f>
        <v>55000</v>
      </c>
      <c r="M29" s="37">
        <f>Inputs!$B$30</f>
        <v>55000</v>
      </c>
      <c r="N29" s="37">
        <f>Inputs!$B$30</f>
        <v>55000</v>
      </c>
      <c r="O29" s="37">
        <f>Inputs!$B$30</f>
        <v>55000</v>
      </c>
      <c r="P29" s="37">
        <f>Inputs!$B$30</f>
        <v>55000</v>
      </c>
      <c r="Q29" s="37">
        <f>Inputs!$B$30</f>
        <v>55000</v>
      </c>
      <c r="R29" s="37">
        <f>Inputs!$B$30</f>
        <v>55000</v>
      </c>
      <c r="S29" s="37">
        <f>Inputs!$B$30</f>
        <v>55000</v>
      </c>
      <c r="T29" s="37">
        <f>Inputs!$B$30</f>
        <v>55000</v>
      </c>
      <c r="U29" s="37">
        <f>Inputs!$B$30</f>
        <v>55000</v>
      </c>
      <c r="V29" s="37">
        <f>Inputs!$B$30</f>
        <v>55000</v>
      </c>
      <c r="W29" s="37">
        <f>Inputs!$B$30</f>
        <v>55000</v>
      </c>
      <c r="X29" s="37">
        <f>Inputs!$B$30</f>
        <v>55000</v>
      </c>
      <c r="Y29" s="37">
        <f>Inputs!$B$30</f>
        <v>55000</v>
      </c>
      <c r="Z29" s="37">
        <f>SUMIF($B$13:$Y$13,"Yes",B29:Y29)</f>
        <v>715000</v>
      </c>
      <c r="AA29" s="37">
        <f>SUM(B29:M29)</f>
        <v>660000</v>
      </c>
      <c r="AB29" s="37">
        <f>SUM(B29:Y29)</f>
        <v>1320000</v>
      </c>
    </row>
    <row r="30" spans="1:30" customHeight="1" ht="15.75">
      <c r="A30" s="1" t="s">
        <v>37</v>
      </c>
      <c r="B30" s="19">
        <f>SUM(B18:B29)</f>
        <v>55000</v>
      </c>
      <c r="C30" s="19">
        <f>SUM(C18:C29)</f>
        <v>55000</v>
      </c>
      <c r="D30" s="19">
        <f>SUM(D18:D29)</f>
        <v>55000</v>
      </c>
      <c r="E30" s="19">
        <f>SUM(E18:E29)</f>
        <v>55000</v>
      </c>
      <c r="F30" s="19">
        <f>SUM(F18:F29)</f>
        <v>55000</v>
      </c>
      <c r="G30" s="19">
        <f>SUM(G18:G29)</f>
        <v>55000</v>
      </c>
      <c r="H30" s="19">
        <f>SUM(H18:H29)</f>
        <v>812794.6741558264</v>
      </c>
      <c r="I30" s="19">
        <f>SUM(I18:I29)</f>
        <v>964353.6089869917</v>
      </c>
      <c r="J30" s="19">
        <f>SUM(J18:J29)</f>
        <v>55000</v>
      </c>
      <c r="K30" s="19">
        <f>SUM(K18:K29)</f>
        <v>55000</v>
      </c>
      <c r="L30" s="19">
        <f>SUM(L18:L29)</f>
        <v>55000</v>
      </c>
      <c r="M30" s="19">
        <f>SUM(M18:M29)</f>
        <v>55000</v>
      </c>
      <c r="N30" s="19">
        <f>SUM(N18:N29)</f>
        <v>55000</v>
      </c>
      <c r="O30" s="19">
        <f>SUM(O18:O29)</f>
        <v>55000</v>
      </c>
      <c r="P30" s="19">
        <f>SUM(P18:P29)</f>
        <v>55000</v>
      </c>
      <c r="Q30" s="19">
        <f>SUM(Q18:Q29)</f>
        <v>55000</v>
      </c>
      <c r="R30" s="19">
        <f>SUM(R18:R29)</f>
        <v>55000</v>
      </c>
      <c r="S30" s="19">
        <f>SUM(S18:S29)</f>
        <v>55000</v>
      </c>
      <c r="T30" s="19">
        <f>SUM(T18:T29)</f>
        <v>812794.6741558264</v>
      </c>
      <c r="U30" s="19">
        <f>SUM(U18:U29)</f>
        <v>964353.6089869917</v>
      </c>
      <c r="V30" s="19">
        <f>SUM(V18:V29)</f>
        <v>55000</v>
      </c>
      <c r="W30" s="19">
        <f>SUM(W18:W29)</f>
        <v>55000</v>
      </c>
      <c r="X30" s="19">
        <f>SUM(X18:X29)</f>
        <v>55000</v>
      </c>
      <c r="Y30" s="19">
        <f>SUM(Y18:Y29)</f>
        <v>55000</v>
      </c>
      <c r="Z30" s="19">
        <f>SUMIF($B$13:$Y$13,"Yes",B30:Y30)</f>
        <v>2382148.283142818</v>
      </c>
      <c r="AA30" s="19">
        <f>SUM(B30:M30)</f>
        <v>2327148.283142818</v>
      </c>
      <c r="AB30" s="19">
        <f>SUM(B30:Y30)</f>
        <v>4654296.566285636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160000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320000</v>
      </c>
      <c r="AA36" s="36">
        <f>SUM(B36:M36)</f>
        <v>160000</v>
      </c>
      <c r="AB36" s="36">
        <f>SUM(B36:Y36)</f>
        <v>320000</v>
      </c>
      <c r="AC36" s="73"/>
    </row>
    <row r="37" spans="1:30" hidden="true" outlineLevel="1">
      <c r="A37" s="181" t="str">
        <f>Calculations!$A$4</f>
        <v>Maize</v>
      </c>
      <c r="B37" s="36">
        <f>N37</f>
        <v>160000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160000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320000</v>
      </c>
      <c r="AA37" s="36">
        <f>SUM(B37:M37)</f>
        <v>160000</v>
      </c>
      <c r="AB37" s="36">
        <f>SUM(B37:Y37)</f>
        <v>320000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24240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24240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48480.00000000001</v>
      </c>
      <c r="AA42" s="36">
        <f>SUM(B42:M42)</f>
        <v>24240</v>
      </c>
      <c r="AB42" s="36">
        <f>SUM(B42:Y42)</f>
        <v>48480.00000000001</v>
      </c>
    </row>
    <row r="43" spans="1:30" hidden="true" outlineLevel="1">
      <c r="A43" s="181" t="str">
        <f>Calculations!$A$4</f>
        <v>Maize</v>
      </c>
      <c r="B43" s="36">
        <f>N43</f>
        <v>24240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24240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48480.00000000001</v>
      </c>
      <c r="AA43" s="36">
        <f>SUM(B43:M43)</f>
        <v>24240</v>
      </c>
      <c r="AB43" s="36">
        <f>SUM(B43:Y43)</f>
        <v>48480.00000000001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24000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24000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24000</v>
      </c>
      <c r="AA48" s="46">
        <f>SUM(B48:M48)</f>
        <v>24000</v>
      </c>
      <c r="AB48" s="46">
        <f>SUM(B48:Y48)</f>
        <v>48000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24000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24000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24000</v>
      </c>
      <c r="AA49" s="46">
        <f>SUM(B49:M49)</f>
        <v>24000</v>
      </c>
      <c r="AB49" s="46">
        <f>SUM(B49:Y49)</f>
        <v>48000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349459.1981069475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349459.1981069475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349459.1981069475</v>
      </c>
      <c r="AA54" s="46">
        <f>SUM(B54:M54)</f>
        <v>349459.1981069475</v>
      </c>
      <c r="AB54" s="46">
        <f>SUM(B54:Y54)</f>
        <v>698918.3962138951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349459.1981069475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349459.1981069475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349459.1981069475</v>
      </c>
      <c r="AA55" s="46">
        <f>SUM(B55:M55)</f>
        <v>349459.1981069475</v>
      </c>
      <c r="AB55" s="46">
        <f>SUM(B55:Y55)</f>
        <v>698918.3962138951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111085.7142857143</v>
      </c>
      <c r="C66" s="36">
        <f>O66</f>
        <v>111085.7142857143</v>
      </c>
      <c r="D66" s="36">
        <f>P66</f>
        <v>111085.7142857143</v>
      </c>
      <c r="E66" s="36">
        <f>Q66</f>
        <v>111085.7142857143</v>
      </c>
      <c r="F66" s="36">
        <f>R66</f>
        <v>111085.7142857143</v>
      </c>
      <c r="G66" s="36">
        <f>S66</f>
        <v>111085.7142857143</v>
      </c>
      <c r="H66" s="36">
        <f>T66</f>
        <v>111085.7142857143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111085.7142857143</v>
      </c>
      <c r="O66" s="46">
        <f>SUM(O67:O71)</f>
        <v>111085.7142857143</v>
      </c>
      <c r="P66" s="46">
        <f>SUM(P67:P71)</f>
        <v>111085.7142857143</v>
      </c>
      <c r="Q66" s="46">
        <f>SUM(Q67:Q71)</f>
        <v>111085.7142857143</v>
      </c>
      <c r="R66" s="46">
        <f>SUM(R67:R71)</f>
        <v>111085.7142857143</v>
      </c>
      <c r="S66" s="46">
        <f>SUM(S67:S71)</f>
        <v>111085.7142857143</v>
      </c>
      <c r="T66" s="46">
        <f>SUM(T67:T71)</f>
        <v>111085.7142857143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888685.7142857144</v>
      </c>
      <c r="AA66" s="46">
        <f>SUM(B66:M66)</f>
        <v>777600.0000000001</v>
      </c>
      <c r="AB66" s="46">
        <f>SUM(B66:Y66)</f>
        <v>1555200</v>
      </c>
    </row>
    <row r="67" spans="1:30" hidden="true" outlineLevel="1">
      <c r="A67" s="181" t="str">
        <f>Calculations!$A$4</f>
        <v>Maize</v>
      </c>
      <c r="B67" s="36">
        <f>N67</f>
        <v>111085.7142857143</v>
      </c>
      <c r="C67" s="36">
        <f>O67</f>
        <v>111085.7142857143</v>
      </c>
      <c r="D67" s="36">
        <f>P67</f>
        <v>111085.7142857143</v>
      </c>
      <c r="E67" s="36">
        <f>Q67</f>
        <v>111085.7142857143</v>
      </c>
      <c r="F67" s="36">
        <f>R67</f>
        <v>111085.7142857143</v>
      </c>
      <c r="G67" s="36">
        <f>S67</f>
        <v>111085.7142857143</v>
      </c>
      <c r="H67" s="36">
        <f>T67</f>
        <v>111085.7142857143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111085.7142857143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111085.7142857143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111085.7142857143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111085.7142857143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111085.7142857143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111085.7142857143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111085.7142857143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888685.7142857144</v>
      </c>
      <c r="AA67" s="46">
        <f>SUM(B67:M67)</f>
        <v>777600.0000000001</v>
      </c>
      <c r="AB67" s="46">
        <f>SUM(B67:Y67)</f>
        <v>1555200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31061.63616786235</v>
      </c>
      <c r="C81" s="46">
        <f>(SUM($AA$18:$AA$29)-SUM($AA$36,$AA$42,$AA$48,$AA$54,$AA$60,$AA$66,$AA$72:$AA$79))*Parameters!$B$37/12</f>
        <v>31061.63616786235</v>
      </c>
      <c r="D81" s="46">
        <f>(SUM($AA$18:$AA$29)-SUM($AA$36,$AA$42,$AA$48,$AA$54,$AA$60,$AA$66,$AA$72:$AA$79))*Parameters!$B$37/12</f>
        <v>31061.63616786235</v>
      </c>
      <c r="E81" s="46">
        <f>(SUM($AA$18:$AA$29)-SUM($AA$36,$AA$42,$AA$48,$AA$54,$AA$60,$AA$66,$AA$72:$AA$79))*Parameters!$B$37/12</f>
        <v>31061.63616786235</v>
      </c>
      <c r="F81" s="46">
        <f>(SUM($AA$18:$AA$29)-SUM($AA$36,$AA$42,$AA$48,$AA$54,$AA$60,$AA$66,$AA$72:$AA$79))*Parameters!$B$37/12</f>
        <v>31061.63616786235</v>
      </c>
      <c r="G81" s="46">
        <f>(SUM($AA$18:$AA$29)-SUM($AA$36,$AA$42,$AA$48,$AA$54,$AA$60,$AA$66,$AA$72:$AA$79))*Parameters!$B$37/12</f>
        <v>31061.63616786235</v>
      </c>
      <c r="H81" s="46">
        <f>(SUM($AA$18:$AA$29)-SUM($AA$36,$AA$42,$AA$48,$AA$54,$AA$60,$AA$66,$AA$72:$AA$79))*Parameters!$B$37/12</f>
        <v>31061.63616786235</v>
      </c>
      <c r="I81" s="46">
        <f>(SUM($AA$18:$AA$29)-SUM($AA$36,$AA$42,$AA$48,$AA$54,$AA$60,$AA$66,$AA$72:$AA$79))*Parameters!$B$37/12</f>
        <v>31061.63616786235</v>
      </c>
      <c r="J81" s="46">
        <f>(SUM($AA$18:$AA$29)-SUM($AA$36,$AA$42,$AA$48,$AA$54,$AA$60,$AA$66,$AA$72:$AA$79))*Parameters!$B$37/12</f>
        <v>31061.63616786235</v>
      </c>
      <c r="K81" s="46">
        <f>(SUM($AA$18:$AA$29)-SUM($AA$36,$AA$42,$AA$48,$AA$54,$AA$60,$AA$66,$AA$72:$AA$79))*Parameters!$B$37/12</f>
        <v>31061.63616786235</v>
      </c>
      <c r="L81" s="46">
        <f>(SUM($AA$18:$AA$29)-SUM($AA$36,$AA$42,$AA$48,$AA$54,$AA$60,$AA$66,$AA$72:$AA$79))*Parameters!$B$37/12</f>
        <v>31061.63616786235</v>
      </c>
      <c r="M81" s="46">
        <f>(SUM($AA$18:$AA$29)-SUM($AA$36,$AA$42,$AA$48,$AA$54,$AA$60,$AA$66,$AA$72:$AA$79))*Parameters!$B$37/12</f>
        <v>31061.63616786235</v>
      </c>
      <c r="N81" s="46">
        <f>(SUM($AA$18:$AA$29)-SUM($AA$36,$AA$42,$AA$48,$AA$54,$AA$60,$AA$66,$AA$72:$AA$79))*Parameters!$B$37/12</f>
        <v>31061.63616786235</v>
      </c>
      <c r="O81" s="46">
        <f>(SUM($AA$18:$AA$29)-SUM($AA$36,$AA$42,$AA$48,$AA$54,$AA$60,$AA$66,$AA$72:$AA$79))*Parameters!$B$37/12</f>
        <v>31061.63616786235</v>
      </c>
      <c r="P81" s="46">
        <f>(SUM($AA$18:$AA$29)-SUM($AA$36,$AA$42,$AA$48,$AA$54,$AA$60,$AA$66,$AA$72:$AA$79))*Parameters!$B$37/12</f>
        <v>31061.63616786235</v>
      </c>
      <c r="Q81" s="46">
        <f>(SUM($AA$18:$AA$29)-SUM($AA$36,$AA$42,$AA$48,$AA$54,$AA$60,$AA$66,$AA$72:$AA$79))*Parameters!$B$37/12</f>
        <v>31061.63616786235</v>
      </c>
      <c r="R81" s="46">
        <f>(SUM($AA$18:$AA$29)-SUM($AA$36,$AA$42,$AA$48,$AA$54,$AA$60,$AA$66,$AA$72:$AA$79))*Parameters!$B$37/12</f>
        <v>31061.63616786235</v>
      </c>
      <c r="S81" s="46">
        <f>(SUM($AA$18:$AA$29)-SUM($AA$36,$AA$42,$AA$48,$AA$54,$AA$60,$AA$66,$AA$72:$AA$79))*Parameters!$B$37/12</f>
        <v>31061.63616786235</v>
      </c>
      <c r="T81" s="46">
        <f>(SUM($AA$18:$AA$29)-SUM($AA$36,$AA$42,$AA$48,$AA$54,$AA$60,$AA$66,$AA$72:$AA$79))*Parameters!$B$37/12</f>
        <v>31061.63616786235</v>
      </c>
      <c r="U81" s="46">
        <f>(SUM($AA$18:$AA$29)-SUM($AA$36,$AA$42,$AA$48,$AA$54,$AA$60,$AA$66,$AA$72:$AA$79))*Parameters!$B$37/12</f>
        <v>31061.63616786235</v>
      </c>
      <c r="V81" s="46">
        <f>(SUM($AA$18:$AA$29)-SUM($AA$36,$AA$42,$AA$48,$AA$54,$AA$60,$AA$66,$AA$72:$AA$79))*Parameters!$B$37/12</f>
        <v>31061.63616786235</v>
      </c>
      <c r="W81" s="46">
        <f>(SUM($AA$18:$AA$29)-SUM($AA$36,$AA$42,$AA$48,$AA$54,$AA$60,$AA$66,$AA$72:$AA$79))*Parameters!$B$37/12</f>
        <v>31061.63616786235</v>
      </c>
      <c r="X81" s="46">
        <f>(SUM($AA$18:$AA$29)-SUM($AA$36,$AA$42,$AA$48,$AA$54,$AA$60,$AA$66,$AA$72:$AA$79))*Parameters!$B$37/12</f>
        <v>31061.63616786235</v>
      </c>
      <c r="Y81" s="46">
        <f>(SUM($AA$18:$AA$29)-SUM($AA$36,$AA$42,$AA$48,$AA$54,$AA$60,$AA$66,$AA$72:$AA$79))*Parameters!$B$37/12</f>
        <v>31061.63616786235</v>
      </c>
      <c r="Z81" s="46">
        <f>SUMIF($B$13:$Y$13,"Yes",B81:Y81)</f>
        <v>403801.2701822104</v>
      </c>
      <c r="AA81" s="46">
        <f>SUM(B81:M81)</f>
        <v>372739.6340143481</v>
      </c>
      <c r="AB81" s="46">
        <f>SUM(B81:Y81)</f>
        <v>745479.2680286962</v>
      </c>
    </row>
    <row r="82" spans="1:30">
      <c r="A82" s="16" t="s">
        <v>52</v>
      </c>
      <c r="B82" s="46">
        <f>SUM(B83:B87)</f>
        <v>61841.49897637795</v>
      </c>
      <c r="C82" s="46">
        <f>SUM(C83:C87)</f>
        <v>61841.49897637795</v>
      </c>
      <c r="D82" s="46">
        <f>SUM(D83:D87)</f>
        <v>61841.49897637795</v>
      </c>
      <c r="E82" s="46">
        <f>SUM(E83:E87)</f>
        <v>61841.49897637795</v>
      </c>
      <c r="F82" s="46">
        <f>SUM(F83:F87)</f>
        <v>61841.49897637795</v>
      </c>
      <c r="G82" s="46">
        <f>SUM(G83:G87)</f>
        <v>61841.49897637795</v>
      </c>
      <c r="H82" s="46">
        <f>SUM(H83:H87)</f>
        <v>61841.49897637795</v>
      </c>
      <c r="I82" s="46">
        <f>SUM(I83:I87)</f>
        <v>61841.49897637795</v>
      </c>
      <c r="J82" s="46">
        <f>SUM(J83:J87)</f>
        <v>61841.49897637795</v>
      </c>
      <c r="K82" s="46">
        <f>SUM(K83:K87)</f>
        <v>14769.60921259842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571343.1</v>
      </c>
      <c r="AA82" s="46">
        <f>SUM(B82:M82)</f>
        <v>571343.1</v>
      </c>
      <c r="AB82" s="46">
        <f>SUM(B82:Y82)</f>
        <v>571343.1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61841.49897637795</v>
      </c>
      <c r="C83" s="46">
        <f>IF(Calculations!$E23&gt;COUNT(Output!$B$35:C$35),Calculations!$B23,IF(Calculations!$E23=COUNT(Output!$B$35:C$35),Inputs!$B56-Calculations!$C23*(Calculations!$E23-1)+Calculations!$D23,0))</f>
        <v>61841.49897637795</v>
      </c>
      <c r="D83" s="46">
        <f>IF(Calculations!$E23&gt;COUNT(Output!$B$35:D$35),Calculations!$B23,IF(Calculations!$E23=COUNT(Output!$B$35:D$35),Inputs!$B56-Calculations!$C23*(Calculations!$E23-1)+Calculations!$D23,0))</f>
        <v>61841.49897637795</v>
      </c>
      <c r="E83" s="46">
        <f>IF(Calculations!$E23&gt;COUNT(Output!$B$35:E$35),Calculations!$B23,IF(Calculations!$E23=COUNT(Output!$B$35:E$35),Inputs!$B56-Calculations!$C23*(Calculations!$E23-1)+Calculations!$D23,0))</f>
        <v>61841.49897637795</v>
      </c>
      <c r="F83" s="46">
        <f>IF(Calculations!$E23&gt;COUNT(Output!$B$35:F$35),Calculations!$B23,IF(Calculations!$E23=COUNT(Output!$B$35:F$35),Inputs!$B56-Calculations!$C23*(Calculations!$E23-1)+Calculations!$D23,0))</f>
        <v>61841.49897637795</v>
      </c>
      <c r="G83" s="46">
        <f>IF(Calculations!$E23&gt;COUNT(Output!$B$35:G$35),Calculations!$B23,IF(Calculations!$E23=COUNT(Output!$B$35:G$35),Inputs!$B56-Calculations!$C23*(Calculations!$E23-1)+Calculations!$D23,0))</f>
        <v>61841.49897637795</v>
      </c>
      <c r="H83" s="46">
        <f>IF(Calculations!$E23&gt;COUNT(Output!$B$35:H$35),Calculations!$B23,IF(Calculations!$E23=COUNT(Output!$B$35:H$35),Inputs!$B56-Calculations!$C23*(Calculations!$E23-1)+Calculations!$D23,0))</f>
        <v>61841.49897637795</v>
      </c>
      <c r="I83" s="46">
        <f>IF(Calculations!$E23&gt;COUNT(Output!$B$35:I$35),Calculations!$B23,IF(Calculations!$E23=COUNT(Output!$B$35:I$35),Inputs!$B56-Calculations!$C23*(Calculations!$E23-1)+Calculations!$D23,0))</f>
        <v>61841.49897637795</v>
      </c>
      <c r="J83" s="46">
        <f>IF(Calculations!$E23&gt;COUNT(Output!$B$35:J$35),Calculations!$B23,IF(Calculations!$E23=COUNT(Output!$B$35:J$35),Inputs!$B56-Calculations!$C23*(Calculations!$E23-1)+Calculations!$D23,0))</f>
        <v>61841.49897637795</v>
      </c>
      <c r="K83" s="46">
        <f>IF(Calculations!$E23&gt;COUNT(Output!$B$35:K$35),Calculations!$B23,IF(Calculations!$E23=COUNT(Output!$B$35:K$35),Inputs!$B56-Calculations!$C23*(Calculations!$E23-1)+Calculations!$D23,0))</f>
        <v>14769.60921259842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571343.1</v>
      </c>
      <c r="AA83" s="46">
        <f>SUM(B83:M83)</f>
        <v>571343.1</v>
      </c>
      <c r="AB83" s="46">
        <f>SUM(B83:Y83)</f>
        <v>571343.1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393228.8494299546</v>
      </c>
      <c r="C88" s="19">
        <f>SUM(C72:C82,C66,C60,C54,C48,C42,C36)</f>
        <v>208988.8494299546</v>
      </c>
      <c r="D88" s="19">
        <f>SUM(D72:D82,D66,D60,D54,D48,D42,D36)</f>
        <v>208988.8494299546</v>
      </c>
      <c r="E88" s="19">
        <f>SUM(E72:E82,E66,E60,E54,E48,E42,E36)</f>
        <v>232988.8494299546</v>
      </c>
      <c r="F88" s="19">
        <f>SUM(F72:F82,F66,F60,F54,F48,F42,F36)</f>
        <v>208988.8494299546</v>
      </c>
      <c r="G88" s="19">
        <f>SUM(G72:G82,G66,G60,G54,G48,G42,G36)</f>
        <v>208988.8494299546</v>
      </c>
      <c r="H88" s="19">
        <f>SUM(H72:H82,H66,H60,H54,H48,H42,H36)</f>
        <v>558448.0475369021</v>
      </c>
      <c r="I88" s="19">
        <f>SUM(I72:I82,I66,I60,I54,I48,I42,I36)</f>
        <v>97903.13514424031</v>
      </c>
      <c r="J88" s="19">
        <f>SUM(J72:J82,J66,J60,J54,J48,J42,J36)</f>
        <v>97903.13514424031</v>
      </c>
      <c r="K88" s="19">
        <f>SUM(K72:K82,K66,K60,K54,K48,K42,K36)</f>
        <v>50831.24538046076</v>
      </c>
      <c r="L88" s="19">
        <f>SUM(L72:L82,L66,L60,L54,L48,L42,L36)</f>
        <v>36061.63616786235</v>
      </c>
      <c r="M88" s="19">
        <f>SUM(M72:M82,M66,M60,M54,M48,M42,M36)</f>
        <v>36061.63616786235</v>
      </c>
      <c r="N88" s="19">
        <f>SUM(N72:N82,N66,N60,N54,N48,N42,N36)</f>
        <v>331387.3504535767</v>
      </c>
      <c r="O88" s="19">
        <f>SUM(O72:O82,O66,O60,O54,O48,O42,O36)</f>
        <v>147147.3504535767</v>
      </c>
      <c r="P88" s="19">
        <f>SUM(P72:P82,P66,P60,P54,P48,P42,P36)</f>
        <v>147147.3504535767</v>
      </c>
      <c r="Q88" s="19">
        <f>SUM(Q72:Q82,Q66,Q60,Q54,Q48,Q42,Q36)</f>
        <v>171147.3504535767</v>
      </c>
      <c r="R88" s="19">
        <f>SUM(R72:R82,R66,R60,R54,R48,R42,R36)</f>
        <v>147147.3504535767</v>
      </c>
      <c r="S88" s="19">
        <f>SUM(S72:S82,S66,S60,S54,S48,S42,S36)</f>
        <v>147147.3504535767</v>
      </c>
      <c r="T88" s="19">
        <f>SUM(T72:T82,T66,T60,T54,T48,T42,T36)</f>
        <v>496606.5485605242</v>
      </c>
      <c r="U88" s="19">
        <f>SUM(U72:U82,U66,U60,U54,U48,U42,U36)</f>
        <v>36061.63616786235</v>
      </c>
      <c r="V88" s="19">
        <f>SUM(V72:V82,V66,V60,V54,V48,V42,V36)</f>
        <v>36061.63616786235</v>
      </c>
      <c r="W88" s="19">
        <f>SUM(W72:W82,W66,W60,W54,W48,W42,W36)</f>
        <v>36061.63616786235</v>
      </c>
      <c r="X88" s="19">
        <f>SUM(X72:X82,X66,X60,X54,X48,X42,X36)</f>
        <v>36061.63616786235</v>
      </c>
      <c r="Y88" s="19">
        <f>SUM(Y72:Y82,Y66,Y60,Y54,Y48,Y42,Y36)</f>
        <v>36061.63616786235</v>
      </c>
      <c r="Z88" s="19">
        <f>SUMIF($B$13:$Y$13,"Yes",B88:Y88)</f>
        <v>2670769.282574872</v>
      </c>
      <c r="AA88" s="19">
        <f>SUM(B88:M88)</f>
        <v>2339381.932121296</v>
      </c>
      <c r="AB88" s="19">
        <f>SUM(B88:Y88)</f>
        <v>4107420.764242592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11000000</v>
      </c>
    </row>
    <row r="98" spans="1:30">
      <c r="A98" t="s">
        <v>64</v>
      </c>
      <c r="B98" s="36">
        <f>IF(Inputs!B44="Yes",Inputs!B45,0)</f>
        <v>558000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5500000</v>
      </c>
    </row>
    <row r="101" spans="1:30" customHeight="1" ht="15.75">
      <c r="A101" s="1" t="s">
        <v>67</v>
      </c>
      <c r="B101" s="19">
        <f>SUM(B94:B100)</f>
        <v>17983000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450210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756210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55000</v>
      </c>
    </row>
    <row r="31" spans="1:48">
      <c r="A31" s="5" t="s">
        <v>114</v>
      </c>
      <c r="B31" s="158">
        <v>5000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558000</v>
      </c>
    </row>
    <row r="46" spans="1:48" customHeight="1" ht="30">
      <c r="A46" s="57" t="s">
        <v>128</v>
      </c>
      <c r="B46" s="161">
        <v>250000</v>
      </c>
    </row>
    <row r="47" spans="1:48" customHeight="1" ht="30">
      <c r="A47" s="57" t="s">
        <v>129</v>
      </c>
      <c r="B47" s="161">
        <v>650000</v>
      </c>
    </row>
    <row r="48" spans="1:48" customHeight="1" ht="30">
      <c r="A48" s="57" t="s">
        <v>130</v>
      </c>
      <c r="B48" s="161">
        <v>5500000</v>
      </c>
    </row>
    <row r="49" spans="1:48" customHeight="1" ht="30">
      <c r="A49" s="57" t="s">
        <v>131</v>
      </c>
      <c r="B49" s="161">
        <v>25000</v>
      </c>
    </row>
    <row r="50" spans="1:48">
      <c r="A50" s="43"/>
      <c r="B50" s="36"/>
    </row>
    <row r="51" spans="1:48">
      <c r="A51" s="58" t="s">
        <v>132</v>
      </c>
      <c r="B51" s="161">
        <v>6000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660726</v>
      </c>
      <c r="B56" s="159">
        <v>450210</v>
      </c>
      <c r="C56" s="162" t="s">
        <v>140</v>
      </c>
      <c r="D56" s="163" t="s">
        <v>141</v>
      </c>
      <c r="E56" s="163" t="s">
        <v>92</v>
      </c>
      <c r="F56" s="163" t="s">
        <v>142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144</v>
      </c>
      <c r="C65" s="10" t="s">
        <v>145</v>
      </c>
    </row>
    <row r="66" spans="1:48">
      <c r="A66" s="142" t="s">
        <v>146</v>
      </c>
      <c r="B66" s="159">
        <v>50903</v>
      </c>
      <c r="C66" s="163">
        <v>12450</v>
      </c>
      <c r="D66" s="49">
        <f>INDEX(Parameters!$D$79:$D$90,MATCH(Inputs!A66,Parameters!$C$79:$C$90,0))</f>
        <v>4</v>
      </c>
    </row>
    <row r="67" spans="1:48">
      <c r="A67" s="143" t="s">
        <v>147</v>
      </c>
      <c r="B67" s="157">
        <v>76381</v>
      </c>
      <c r="C67" s="165">
        <v>23510</v>
      </c>
      <c r="D67" s="49">
        <f>INDEX(Parameters!$D$79:$D$90,MATCH(Inputs!A67,Parameters!$C$79:$C$90,0))</f>
        <v>3</v>
      </c>
    </row>
    <row r="68" spans="1:48">
      <c r="A68" s="143" t="s">
        <v>148</v>
      </c>
      <c r="B68" s="157">
        <v>33165</v>
      </c>
      <c r="C68" s="165">
        <v>15487</v>
      </c>
      <c r="D68" s="49">
        <f>INDEX(Parameters!$D$79:$D$90,MATCH(Inputs!A68,Parameters!$C$79:$C$90,0))</f>
        <v>2</v>
      </c>
    </row>
    <row r="69" spans="1:48">
      <c r="A69" s="143" t="s">
        <v>149</v>
      </c>
      <c r="B69" s="157">
        <v>90446</v>
      </c>
      <c r="C69" s="165">
        <v>32654</v>
      </c>
      <c r="D69" s="49">
        <f>INDEX(Parameters!$D$79:$D$90,MATCH(Inputs!A69,Parameters!$C$79:$C$90,0))</f>
        <v>1</v>
      </c>
    </row>
    <row r="70" spans="1:48">
      <c r="A70" s="143" t="s">
        <v>150</v>
      </c>
      <c r="B70" s="157">
        <v>62207</v>
      </c>
      <c r="C70" s="165">
        <v>23651</v>
      </c>
      <c r="D70" s="49">
        <f>INDEX(Parameters!$D$79:$D$90,MATCH(Inputs!A70,Parameters!$C$79:$C$90,0))</f>
        <v>12</v>
      </c>
    </row>
    <row r="71" spans="1:48">
      <c r="A71" s="144" t="s">
        <v>151</v>
      </c>
      <c r="B71" s="158">
        <v>49505</v>
      </c>
      <c r="C71" s="167">
        <v>26597</v>
      </c>
      <c r="D71" s="49">
        <f>INDEX(Parameters!$D$79:$D$90,MATCH(Inputs!A71,Parameters!$C$79:$C$90,0))</f>
        <v>11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15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300000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42856</v>
      </c>
      <c r="C4" s="38">
        <f>IFERROR(DATE(YEAR(B4),MONTH(B4)+ROUND(T4/2,0),DAY(B4)),B4)</f>
        <v>42948</v>
      </c>
      <c r="D4" s="38">
        <f>IFERROR(DATE(YEAR(B4),MONTH(B4)+T4,DAY(B4)),"")</f>
        <v>43040</v>
      </c>
      <c r="E4" s="38">
        <f>IFERROR(IF($S4=0,"",IF($S4=2,DATE(YEAR(B4),MONTH(B4)+6,DAY(B4)),IF($S4=1,B4,""))),"")</f>
        <v>42856</v>
      </c>
      <c r="F4" s="38">
        <f>IFERROR(IF($S4=0,"",IF($S4=2,DATE(YEAR(C4),MONTH(C4)+6,DAY(C4)),IF($S4=1,C4,""))),"")</f>
        <v>42948</v>
      </c>
      <c r="G4" s="38">
        <f>IFERROR(IF($S4=0,"",IF($S4=2,DATE(YEAR(D4),MONTH(D4)+6,DAY(D4)),IF($S4=1,D4,""))),"")</f>
        <v>43040</v>
      </c>
      <c r="H4" s="20">
        <f>Inputs!C7</f>
        <v>40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75969.39089281468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1515589.348311653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12120</v>
      </c>
      <c r="W4" s="33">
        <f>IFERROR(J4*H4*Parameters!$B$35+IF(OR(Inputs!F7=Parameters!$E$78,Inputs!F7=Parameters!$E$80),Calculations!H4*Parameters!$B$36,0),0)</f>
        <v>80000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174729.5990534738</v>
      </c>
      <c r="AB4" s="33">
        <f>H4*IFERROR(INDEX(Parameters!$A$3:$AI$17,MATCH(Calculations!A4,Parameters!$A$3:$A$17,0),MATCH(Parameters!$O$3,Parameters!$A$3:$AI$3,0)),AVERAGE(Parameters!$O$4:$O$17))*(1-Inputs!$B$25/100)</f>
        <v>432000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660726</v>
      </c>
      <c r="B23" s="75">
        <f>SUM(C23:D23)</f>
        <v>61841.49897637795</v>
      </c>
      <c r="C23" s="75">
        <f>IF(Inputs!B56&gt;0,(Inputs!A56-Inputs!B56)/(DATE(YEAR(Inputs!$B$76),MONTH(Inputs!$B$76),DAY(Inputs!$B$76))-DATE(YEAR(Inputs!C56),MONTH(Inputs!C56),DAY(Inputs!C56)))*30,0)</f>
        <v>49728.18897637795</v>
      </c>
      <c r="D23" s="75">
        <f>IF(Inputs!B56&gt;0,Inputs!A56*0.22/12,0)</f>
        <v>12113.31</v>
      </c>
      <c r="E23" s="75">
        <f>IFERROR(ROUNDUP(Inputs!B56/C23,0),0)</f>
        <v>10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42909</v>
      </c>
      <c r="C33" s="27">
        <f>IF(B33&lt;&gt;"",IF(COUNT($A$33:A33)&lt;=$G$39,0,$G$41)+IF(COUNT($A$33:A33)&lt;=$G$40,0,$G$42),0)</f>
        <v>29500</v>
      </c>
      <c r="D33" s="170">
        <f>IFERROR(DATE(YEAR(B33),MONTH(B33),1)," ")</f>
        <v>42887</v>
      </c>
      <c r="F33" t="s">
        <v>157</v>
      </c>
      <c r="G33" s="128">
        <f>IF(Inputs!B79="","",DATE(YEAR(Inputs!B79),MONTH(Inputs!B79),DAY(Inputs!B79)))</f>
        <v>42878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42939</v>
      </c>
      <c r="C34" s="27">
        <f>IF(B34&lt;&gt;"",IF(COUNT($A$33:A34)&lt;=$G$39,0,$G$41)+IF(COUNT($A$33:A34)&lt;=$G$40,0,$G$42),0)</f>
        <v>29500</v>
      </c>
      <c r="D34" s="170">
        <f>IFERROR(DATE(YEAR(B34),MONTH(B34),1)," ")</f>
        <v>42917</v>
      </c>
      <c r="F34" t="s">
        <v>158</v>
      </c>
      <c r="G34" s="128">
        <f>IF(Inputs!B80="","",DATE(YEAR(Inputs!B80),MONTH(Inputs!B80),DAY(Inputs!B80)))</f>
        <v>42909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42970</v>
      </c>
      <c r="C35" s="27">
        <f>IF(B35&lt;&gt;"",IF(COUNT($A$33:A35)&lt;=$G$39,0,$G$41)+IF(COUNT($A$33:A35)&lt;=$G$40,0,$G$42),0)</f>
        <v>29500</v>
      </c>
      <c r="D35" s="170">
        <f>IFERROR(DATE(YEAR(B35),MONTH(B35),1)," ")</f>
        <v>42948</v>
      </c>
      <c r="F35" t="s">
        <v>160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43001</v>
      </c>
      <c r="C36" s="27">
        <f>IF(B36&lt;&gt;"",IF(COUNT($A$33:A36)&lt;=$G$39,0,$G$41)+IF(COUNT($A$33:A36)&lt;=$G$40,0,$G$42),0)</f>
        <v>29500</v>
      </c>
      <c r="D36" s="170">
        <f>IFERROR(DATE(YEAR(B36),MONTH(B36),1)," ")</f>
        <v>42979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43031</v>
      </c>
      <c r="C37" s="27">
        <f>IF(B37&lt;&gt;"",IF(COUNT($A$33:A37)&lt;=$G$39,0,$G$41)+IF(COUNT($A$33:A37)&lt;=$G$40,0,$G$42),0)</f>
        <v>29500</v>
      </c>
      <c r="D37" s="170">
        <f>IFERROR(DATE(YEAR(B37),MONTH(B37),1)," ")</f>
        <v>43009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43062</v>
      </c>
      <c r="C38" s="27">
        <f>IF(B38&lt;&gt;"",IF(COUNT($A$33:A38)&lt;=$G$39,0,$G$41)+IF(COUNT($A$33:A38)&lt;=$G$40,0,$G$42),0)</f>
        <v>29500</v>
      </c>
      <c r="D38" s="170">
        <f>IFERROR(DATE(YEAR(B38),MONTH(B38),1)," ")</f>
        <v>43040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43092</v>
      </c>
      <c r="C39" s="27">
        <f>IF(B39&lt;&gt;"",IF(COUNT($A$33:A39)&lt;=$G$39,0,$G$41)+IF(COUNT($A$33:A39)&lt;=$G$40,0,$G$42),0)</f>
        <v>29500</v>
      </c>
      <c r="D39" s="170">
        <f>IFERROR(DATE(YEAR(B39),MONTH(B39),1)," ")</f>
        <v>43070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43123</v>
      </c>
      <c r="C40" s="27">
        <f>IF(B40&lt;&gt;"",IF(COUNT($A$33:A40)&lt;=$G$39,0,$G$41)+IF(COUNT($A$33:A40)&lt;=$G$40,0,$G$42),0)</f>
        <v>29500</v>
      </c>
      <c r="D40" s="170">
        <f>IFERROR(DATE(YEAR(B40),MONTH(B40),1)," ")</f>
        <v>43101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43154</v>
      </c>
      <c r="C41" s="27">
        <f>IF(B41&lt;&gt;"",IF(COUNT($A$33:A41)&lt;=$G$39,0,$G$41)+IF(COUNT($A$33:A41)&lt;=$G$40,0,$G$42),0)</f>
        <v>29500</v>
      </c>
      <c r="D41" s="170">
        <f>IFERROR(DATE(YEAR(B41),MONTH(B41),1)," ")</f>
        <v>43132</v>
      </c>
      <c r="F41" t="s">
        <v>224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43182</v>
      </c>
      <c r="C42" s="27">
        <f>IF(B42&lt;&gt;"",IF(COUNT($A$33:A42)&lt;=$G$39,0,$G$41)+IF(COUNT($A$33:A42)&lt;=$G$40,0,$G$42),0)</f>
        <v>29500</v>
      </c>
      <c r="D42" s="170">
        <f>IFERROR(DATE(YEAR(B42),MONTH(B42),1)," ")</f>
        <v>43160</v>
      </c>
      <c r="F42" t="s">
        <v>225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43213</v>
      </c>
      <c r="C43" s="27">
        <f>IF(B43&lt;&gt;"",IF(COUNT($A$33:A43)&lt;=$G$39,0,$G$41)+IF(COUNT($A$33:A43)&lt;=$G$40,0,$G$42),0)</f>
        <v>29500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43243</v>
      </c>
      <c r="C44" s="27">
        <f>IF(B44&lt;&gt;"",IF(COUNT($A$33:A44)&lt;=$G$39,0,$G$41)+IF(COUNT($A$33:A44)&lt;=$G$40,0,$G$42),0)</f>
        <v>29500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125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226</v>
      </c>
      <c r="E53" s="10" t="s">
        <v>185</v>
      </c>
      <c r="F53" s="10" t="s">
        <v>245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163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222</v>
      </c>
      <c r="J76" s="11" t="s">
        <v>346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348</v>
      </c>
      <c r="H77" s="12" t="s">
        <v>125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313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163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91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