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<sst xmlns="http://schemas.openxmlformats.org/spreadsheetml/2006/main" uniqueCount="375">
  <si>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</si>
  <si>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</si>
  <si>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</si>
  <si>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</si>
  <si>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</si>
  <si>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</si>
  <si>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</si>
  <si>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</si>
  <si>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</si>
  <si>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</si>
  <si>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</si>
  <si>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</si>
  <si>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</si>
  <si>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</si>
  <si>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</si>
  <si>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</si>
  <si>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</si>
  <si>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</si>
  <si>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</si>
  <si>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</si>
  <si>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</si>
  <si>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</si>
  <si>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</si>
  <si>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</si>
  <si>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</si>
  <si>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</si>
  <si>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</si>
  <si>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</si>
  <si>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</si>
  <si>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</si>
  <si>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</si>
  <si>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</si>
  <si>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</si>
  <si>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</si>
  <si>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</si>
  <si>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</si>
  <si>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</si>
  <si>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</si>
  <si>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</si>
  <si>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</si>
  <si>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</si>
  <si>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</si>
  <si>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</si>
  <si>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</si>
  <si>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</si>
  <si>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</si>
  <si>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</si>
  <si>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</si>
  <si>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</si>
  <si>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</si>
  <si>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</si>
  <si>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</si>
  <si>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</si>
  <si>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</si>
  <si>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</si>
  <si>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</si>
  <si>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</si>
  <si>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</si>
  <si>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</si>
  <si>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</si>
  <si>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</si>
  <si>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</si>
  <si>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</si>
  <si>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</si>
  <si>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</si>
  <si>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</si>
  <si>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</si>
  <si>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</si>
  <si>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</si>
  <si>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</si>
  <si>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</si>
  <si>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</si>
  <si>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</si>
  <si>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</si>
  <si>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</si>
  <si>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</si>
  <si>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</si>
  <si>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</si>
  <si>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</si>
  <si>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</si>
  <si>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</si>
  <si>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</si>
  <si>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</si>
  <si>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</si>
  <si>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</si>
  <si>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</si>
  <si>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</si>
  <si>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</si>
  <si>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</si>
  <si>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</si>
  <si>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</si>
  <si>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</si>
  <si>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</si>
  <si>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</si>
  <si>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December</t>
  </si>
  <si>
    <t>Potatoes</t>
  </si>
  <si>
    <t>Shop_common variety</t>
  </si>
  <si>
    <t>Yes Inorganic fertizers</t>
  </si>
  <si>
    <t>No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</si>
  <si>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</si>
  <si>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</si>
  <si>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</si>
  <si>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</si>
  <si>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</si>
  <si>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</si>
  <si>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</si>
  <si>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</si>
  <si>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</si>
  <si>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</si>
  <si>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</si>
  <si>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</si>
  <si>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</si>
  <si>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</si>
  <si>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</si>
  <si>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</si>
  <si>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</si>
  <si>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</si>
  <si>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- brookside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</si>
  <si>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</si>
  <si>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</si>
  <si>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</si>
  <si>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</si>
  <si>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</si>
  <si>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</si>
  <si>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</si>
  <si>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</si>
  <si>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</si>
  <si>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</si>
  <si>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</si>
  <si>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</si>
  <si>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</si>
  <si>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</si>
  <si>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</si>
  <si>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</si>
  <si>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</si>
  <si>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</si>
  <si>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</si>
  <si>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</si>
  <si>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</si>
  <si>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</si>
  <si>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</si>
  <si>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</si>
  <si>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</si>
  <si>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</si>
  <si>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</si>
  <si>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4/25/2017</t>
  </si>
  <si>
    <t>equity bank</t>
  </si>
  <si>
    <t>1 month loan to repay by 26/5/2017</t>
  </si>
  <si>
    <t>11/2/2016</t>
  </si>
  <si>
    <t>KCB</t>
  </si>
  <si>
    <t xml:space="preserve">insurance premium financing loan. loan got in to arrears of 62 days due to bank error. customer made payment to wrong account </t>
  </si>
  <si>
    <t>1/15/2017</t>
  </si>
  <si>
    <t>premier kenya ltd</t>
  </si>
  <si>
    <t xml:space="preserve">to - up loan taken to purchase farm inputs </t>
  </si>
  <si>
    <t>Mpesa &amp; bank cash flows (from past statements)</t>
  </si>
  <si>
    <t>Cash inflows</t>
  </si>
  <si>
    <t>Cash outflows</t>
  </si>
  <si>
    <t>June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</si>
  <si>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</si>
  <si>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</si>
  <si>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</si>
  <si>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</si>
  <si>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</si>
  <si>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</si>
  <si>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</si>
  <si>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2017/5/26</t>
  </si>
  <si>
    <t>Loan terms</t>
  </si>
  <si>
    <t>Expected disbursement date</t>
  </si>
  <si>
    <t>Expected first repayment date</t>
  </si>
  <si>
    <t>2017/6/26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</si>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</sst>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 - brookside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0.5056207259062807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0.966596568627451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68444.44444444444</v>
      </c>
    </row>
    <row r="17" spans="1:7">
      <c r="B17" s="1" t="s">
        <v>11</v>
      </c>
      <c r="C17" s="36">
        <f>SUM(Output!B6:M6)</f>
        <v>656573.2548188568</v>
      </c>
    </row>
    <row r="18" spans="1:7">
      <c r="B18" s="1" t="s">
        <v>12</v>
      </c>
      <c r="C18" s="36">
        <f>MIN(Output!B6:M6)</f>
        <v>-141754.6301593462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404412.60501467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164389.3333333333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404412.60501467</v>
      </c>
      <c r="C6" s="51">
        <f>C30-C88</f>
        <v>48985.49750022829</v>
      </c>
      <c r="D6" s="51">
        <f>D30-D88</f>
        <v>-127246.5024997717</v>
      </c>
      <c r="E6" s="51">
        <f>E30-E88</f>
        <v>40753.49750022829</v>
      </c>
      <c r="F6" s="51">
        <f>F30-F88</f>
        <v>10653.49750022829</v>
      </c>
      <c r="G6" s="51">
        <f>G30-G88</f>
        <v>40753.49750022829</v>
      </c>
      <c r="H6" s="51">
        <f>H30-H88</f>
        <v>404412.60501467</v>
      </c>
      <c r="I6" s="51">
        <f>I30-I88</f>
        <v>-133014.5024997718</v>
      </c>
      <c r="J6" s="51">
        <f>J30-J88</f>
        <v>-141754.6301593462</v>
      </c>
      <c r="K6" s="51">
        <f>K30-K88</f>
        <v>46239.22998249778</v>
      </c>
      <c r="L6" s="51">
        <f>L30-L88</f>
        <v>16139.22998249778</v>
      </c>
      <c r="M6" s="51">
        <f>M30-M88</f>
        <v>46239.22998249778</v>
      </c>
      <c r="N6" s="51">
        <f>N30-N88</f>
        <v>409898.3374969395</v>
      </c>
      <c r="O6" s="51">
        <f>O30-O88</f>
        <v>-22131.82345261669</v>
      </c>
      <c r="P6" s="51">
        <f>P30-P88</f>
        <v>-100458.6071676294</v>
      </c>
      <c r="Q6" s="51">
        <f>Q30-Q88</f>
        <v>67541.39283237056</v>
      </c>
      <c r="R6" s="51">
        <f>R30-R88</f>
        <v>37441.39283237056</v>
      </c>
      <c r="S6" s="51">
        <f>S30-S88</f>
        <v>67541.39283237056</v>
      </c>
      <c r="T6" s="51">
        <f>T30-T88</f>
        <v>431200.5003468123</v>
      </c>
      <c r="U6" s="51">
        <f>U30-U88</f>
        <v>-106226.6071676295</v>
      </c>
      <c r="V6" s="51">
        <f>V30-V88</f>
        <v>-100458.6071676294</v>
      </c>
      <c r="W6" s="51">
        <f>W30-W88</f>
        <v>67541.39283237056</v>
      </c>
      <c r="X6" s="51">
        <f>X30-X88</f>
        <v>37441.39283237056</v>
      </c>
      <c r="Y6" s="51">
        <f>Y30-Y88</f>
        <v>67541.39283237056</v>
      </c>
      <c r="Z6" s="51">
        <f>SUMIF($B$13:$Y$13,"Yes",B6:Y6)</f>
        <v>1513444.804701326</v>
      </c>
      <c r="AA6" s="51">
        <f>AA30-AA88</f>
        <v>656573.2548188567</v>
      </c>
      <c r="AB6" s="51">
        <f>AB30-AB88</f>
        <v>1513444.804701326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957000</v>
      </c>
      <c r="D7" s="80">
        <f>IF(ISERROR(VLOOKUP(MONTH(D5),Inputs!$D$66:$D$71,1,0)),"",INDEX(Inputs!$B$66:$B$71,MATCH(MONTH(Output!D5),Inputs!$D$66:$D$71,0))-INDEX(Inputs!$C$66:$C$71,MATCH(MONTH(Output!D5),Inputs!$D$66:$D$71,0)))</f>
        <v>323000</v>
      </c>
      <c r="E7" s="80">
        <f>IF(ISERROR(VLOOKUP(MONTH(E5),Inputs!$D$66:$D$71,1,0)),"",INDEX(Inputs!$B$66:$B$71,MATCH(MONTH(Output!E5),Inputs!$D$66:$D$71,0))-INDEX(Inputs!$C$66:$C$71,MATCH(MONTH(Output!E5),Inputs!$D$66:$D$71,0)))</f>
        <v>323000</v>
      </c>
      <c r="F7" s="80">
        <f>IF(ISERROR(VLOOKUP(MONTH(F5),Inputs!$D$66:$D$71,1,0)),"",INDEX(Inputs!$B$66:$B$71,MATCH(MONTH(Output!F5),Inputs!$D$66:$D$71,0))-INDEX(Inputs!$C$66:$C$71,MATCH(MONTH(Output!F5),Inputs!$D$66:$D$71,0)))</f>
        <v>1213000</v>
      </c>
      <c r="G7" s="80">
        <f>IF(ISERROR(VLOOKUP(MONTH(G5),Inputs!$D$66:$D$71,1,0)),"",INDEX(Inputs!$B$66:$B$71,MATCH(MONTH(Output!G5),Inputs!$D$66:$D$71,0))-INDEX(Inputs!$C$66:$C$71,MATCH(MONTH(Output!G5),Inputs!$D$66:$D$71,0)))</f>
        <v>323000</v>
      </c>
      <c r="H7" s="80">
        <f>IF(ISERROR(VLOOKUP(MONTH(H5),Inputs!$D$66:$D$71,1,0)),"",INDEX(Inputs!$B$66:$B$71,MATCH(MONTH(Output!H5),Inputs!$D$66:$D$71,0))-INDEX(Inputs!$C$66:$C$71,MATCH(MONTH(Output!H5),Inputs!$D$66:$D$71,0)))</f>
        <v>323000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957000</v>
      </c>
      <c r="P7" s="80">
        <f>IF(ISERROR(VLOOKUP(MONTH(P5),Inputs!$D$66:$D$71,1,0)),"",INDEX(Inputs!$B$66:$B$71,MATCH(MONTH(Output!P5),Inputs!$D$66:$D$71,0))-INDEX(Inputs!$C$66:$C$71,MATCH(MONTH(Output!P5),Inputs!$D$66:$D$71,0)))</f>
        <v>323000</v>
      </c>
      <c r="Q7" s="80">
        <f>IF(ISERROR(VLOOKUP(MONTH(Q5),Inputs!$D$66:$D$71,1,0)),"",INDEX(Inputs!$B$66:$B$71,MATCH(MONTH(Output!Q5),Inputs!$D$66:$D$71,0))-INDEX(Inputs!$C$66:$C$71,MATCH(MONTH(Output!Q5),Inputs!$D$66:$D$71,0)))</f>
        <v>323000</v>
      </c>
      <c r="R7" s="80">
        <f>IF(ISERROR(VLOOKUP(MONTH(R5),Inputs!$D$66:$D$71,1,0)),"",INDEX(Inputs!$B$66:$B$71,MATCH(MONTH(Output!R5),Inputs!$D$66:$D$71,0))-INDEX(Inputs!$C$66:$C$71,MATCH(MONTH(Output!R5),Inputs!$D$66:$D$71,0)))</f>
        <v>1213000</v>
      </c>
      <c r="S7" s="80">
        <f>IF(ISERROR(VLOOKUP(MONTH(S5),Inputs!$D$66:$D$71,1,0)),"",INDEX(Inputs!$B$66:$B$71,MATCH(MONTH(Output!S5),Inputs!$D$66:$D$71,0))-INDEX(Inputs!$C$66:$C$71,MATCH(MONTH(Output!S5),Inputs!$D$66:$D$71,0)))</f>
        <v>323000</v>
      </c>
      <c r="T7" s="80">
        <f>IF(ISERROR(VLOOKUP(MONTH(T5),Inputs!$D$66:$D$71,1,0)),"",INDEX(Inputs!$B$66:$B$71,MATCH(MONTH(Output!T5),Inputs!$D$66:$D$71,0))-INDEX(Inputs!$C$66:$C$71,MATCH(MONTH(Output!T5),Inputs!$D$66:$D$71,0)))</f>
        <v>323000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1600000</v>
      </c>
      <c r="AA9" s="75">
        <f>SUM(B9:M9)</f>
        <v>1600000</v>
      </c>
      <c r="AB9" s="75">
        <f>SUM(B9:Y9)</f>
        <v>1600000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68444.44444444444</v>
      </c>
      <c r="D10" s="37">
        <f>SUMPRODUCT((Calculations!$D$33:$D$84=Output!D5)+0,Calculations!$C$33:$C$84)</f>
        <v>68444.44444444444</v>
      </c>
      <c r="E10" s="37">
        <f>SUMPRODUCT((Calculations!$D$33:$D$84=Output!E5)+0,Calculations!$C$33:$C$84)</f>
        <v>68444.44444444444</v>
      </c>
      <c r="F10" s="37">
        <f>SUMPRODUCT((Calculations!$D$33:$D$84=Output!F5)+0,Calculations!$C$33:$C$84)</f>
        <v>68444.44444444444</v>
      </c>
      <c r="G10" s="37">
        <f>SUMPRODUCT((Calculations!$D$33:$D$84=Output!G5)+0,Calculations!$C$33:$C$84)</f>
        <v>68444.44444444444</v>
      </c>
      <c r="H10" s="37">
        <f>SUMPRODUCT((Calculations!$D$33:$D$84=Output!H5)+0,Calculations!$C$33:$C$84)</f>
        <v>68444.44444444444</v>
      </c>
      <c r="I10" s="37">
        <f>SUMPRODUCT((Calculations!$D$33:$D$84=Output!I5)+0,Calculations!$C$33:$C$84)</f>
        <v>68444.44444444444</v>
      </c>
      <c r="J10" s="37">
        <f>SUMPRODUCT((Calculations!$D$33:$D$84=Output!J5)+0,Calculations!$C$33:$C$84)</f>
        <v>68444.44444444444</v>
      </c>
      <c r="K10" s="37">
        <f>SUMPRODUCT((Calculations!$D$33:$D$84=Output!K5)+0,Calculations!$C$33:$C$84)</f>
        <v>68444.44444444444</v>
      </c>
      <c r="L10" s="37">
        <f>SUMPRODUCT((Calculations!$D$33:$D$84=Output!L5)+0,Calculations!$C$33:$C$84)</f>
        <v>68444.44444444444</v>
      </c>
      <c r="M10" s="37">
        <f>SUMPRODUCT((Calculations!$D$33:$D$84=Output!M5)+0,Calculations!$C$33:$C$84)</f>
        <v>68444.44444444444</v>
      </c>
      <c r="N10" s="37">
        <f>SUMPRODUCT((Calculations!$D$33:$D$84=Output!N5)+0,Calculations!$C$33:$C$84)</f>
        <v>68444.44444444444</v>
      </c>
      <c r="O10" s="37">
        <f>SUMPRODUCT((Calculations!$D$33:$D$84=Output!O5)+0,Calculations!$C$33:$C$84)</f>
        <v>68444.44444444444</v>
      </c>
      <c r="P10" s="37">
        <f>SUMPRODUCT((Calculations!$D$33:$D$84=Output!P5)+0,Calculations!$C$33:$C$84)</f>
        <v>68444.44444444444</v>
      </c>
      <c r="Q10" s="37">
        <f>SUMPRODUCT((Calculations!$D$33:$D$84=Output!Q5)+0,Calculations!$C$33:$C$84)</f>
        <v>68444.44444444444</v>
      </c>
      <c r="R10" s="37">
        <f>SUMPRODUCT((Calculations!$D$33:$D$84=Output!R5)+0,Calculations!$C$33:$C$84)</f>
        <v>68444.44444444444</v>
      </c>
      <c r="S10" s="37">
        <f>SUMPRODUCT((Calculations!$D$33:$D$84=Output!S5)+0,Calculations!$C$33:$C$84)</f>
        <v>68444.44444444444</v>
      </c>
      <c r="T10" s="37">
        <f>SUMPRODUCT((Calculations!$D$33:$D$84=Output!T5)+0,Calculations!$C$33:$C$84)</f>
        <v>68444.44444444444</v>
      </c>
      <c r="U10" s="37">
        <f>SUMPRODUCT((Calculations!$D$33:$D$84=Output!U5)+0,Calculations!$C$33:$C$84)</f>
        <v>68444.44444444444</v>
      </c>
      <c r="V10" s="37">
        <f>SUMPRODUCT((Calculations!$D$33:$D$84=Output!V5)+0,Calculations!$C$33:$C$84)</f>
        <v>68444.44444444444</v>
      </c>
      <c r="W10" s="37">
        <f>SUMPRODUCT((Calculations!$D$33:$D$84=Output!W5)+0,Calculations!$C$33:$C$84)</f>
        <v>68444.44444444444</v>
      </c>
      <c r="X10" s="37">
        <f>SUMPRODUCT((Calculations!$D$33:$D$84=Output!X5)+0,Calculations!$C$33:$C$84)</f>
        <v>68444.44444444444</v>
      </c>
      <c r="Y10" s="37">
        <f>SUMPRODUCT((Calculations!$D$33:$D$84=Output!Y5)+0,Calculations!$C$33:$C$84)</f>
        <v>68444.44444444444</v>
      </c>
      <c r="Z10" s="37">
        <f>SUMIF($B$13:$Y$13,"Yes",B10:Y10)</f>
        <v>1574222.222222223</v>
      </c>
      <c r="AA10" s="37">
        <f>SUM(B10:M10)</f>
        <v>752888.888888889</v>
      </c>
      <c r="AB10" s="37">
        <f>SUM(B10:Y10)</f>
        <v>1574222.222222223</v>
      </c>
    </row>
    <row r="11" spans="1:30" customHeight="1" ht="15.75">
      <c r="A11" s="43" t="s">
        <v>31</v>
      </c>
      <c r="B11" s="80">
        <f>B6+B9-B10</f>
        <v>2004412.60501467</v>
      </c>
      <c r="C11" s="80">
        <f>C6+C9-C10</f>
        <v>-19458.94694421615</v>
      </c>
      <c r="D11" s="80">
        <f>D6+D9-D10</f>
        <v>-195690.9469442161</v>
      </c>
      <c r="E11" s="80">
        <f>E6+E9-E10</f>
        <v>-27690.94694421615</v>
      </c>
      <c r="F11" s="80">
        <f>F6+F9-F10</f>
        <v>-57790.94694421615</v>
      </c>
      <c r="G11" s="80">
        <f>G6+G9-G10</f>
        <v>-27690.94694421615</v>
      </c>
      <c r="H11" s="80">
        <f>H6+H9-H10</f>
        <v>335968.1605702256</v>
      </c>
      <c r="I11" s="80">
        <f>I6+I9-I10</f>
        <v>-201458.9469442162</v>
      </c>
      <c r="J11" s="80">
        <f>J6+J9-J10</f>
        <v>-210199.0746037906</v>
      </c>
      <c r="K11" s="80">
        <f>K6+K9-K10</f>
        <v>-22205.21446194666</v>
      </c>
      <c r="L11" s="80">
        <f>L6+L9-L10</f>
        <v>-52305.21446194666</v>
      </c>
      <c r="M11" s="80">
        <f>M6+M9-M10</f>
        <v>-22205.21446194666</v>
      </c>
      <c r="N11" s="80">
        <f>N6+N9-N10</f>
        <v>341453.893052495</v>
      </c>
      <c r="O11" s="80">
        <f>O6+O9-O10</f>
        <v>-90576.26789706113</v>
      </c>
      <c r="P11" s="80">
        <f>P6+P9-P10</f>
        <v>-168903.0516120738</v>
      </c>
      <c r="Q11" s="80">
        <f>Q6+Q9-Q10</f>
        <v>-903.0516120738757</v>
      </c>
      <c r="R11" s="80">
        <f>R6+R9-R10</f>
        <v>-31003.05161207388</v>
      </c>
      <c r="S11" s="80">
        <f>S6+S9-S10</f>
        <v>-903.0516120738757</v>
      </c>
      <c r="T11" s="80">
        <f>T6+T9-T10</f>
        <v>362756.0559023679</v>
      </c>
      <c r="U11" s="80">
        <f>U6+U9-U10</f>
        <v>-174671.0516120739</v>
      </c>
      <c r="V11" s="80">
        <f>V6+V9-V10</f>
        <v>-168903.0516120738</v>
      </c>
      <c r="W11" s="80">
        <f>W6+W9-W10</f>
        <v>-903.0516120738757</v>
      </c>
      <c r="X11" s="80">
        <f>X6+X9-X10</f>
        <v>-31003.05161207388</v>
      </c>
      <c r="Y11" s="80">
        <f>Y6+Y9-Y10</f>
        <v>-903.0516120738757</v>
      </c>
      <c r="Z11" s="85">
        <f>SUMIF($B$13:$Y$13,"Yes",B11:Y11)</f>
        <v>1539222.582479105</v>
      </c>
      <c r="AA11" s="80">
        <f>SUM(B11:M11)</f>
        <v>1503684.365929968</v>
      </c>
      <c r="AB11" s="46">
        <f>SUM(B11:Y11)</f>
        <v>1539222.582479105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0.03333228191874588</v>
      </c>
      <c r="D12" s="82">
        <f>IF(D13="Yes",IF(SUM($B$10:D10)/(SUM($B$6:D6)+SUM($B$9:D9))&lt;0,999.99,SUM($B$10:D10)/(SUM($B$6:D6)+SUM($B$9:D9))),"")</f>
        <v>0.07106859547701949</v>
      </c>
      <c r="E12" s="82">
        <f>IF(E13="Yes",IF(SUM($B$10:E10)/(SUM($B$6:E6)+SUM($B$9:E9))&lt;0,999.99,SUM($B$10:E10)/(SUM($B$6:E6)+SUM($B$9:E9))),"")</f>
        <v>0.1043941233324961</v>
      </c>
      <c r="F12" s="82">
        <f>IF(F13="Yes",IF(SUM($B$10:F10)/(SUM($B$6:F6)+SUM($B$9:F9))&lt;0,999.99,SUM($B$10:F10)/(SUM($B$6:F6)+SUM($B$9:F9))),"")</f>
        <v>0.1384423088488159</v>
      </c>
      <c r="G12" s="82">
        <f>IF(G13="Yes",IF(SUM($B$10:G10)/(SUM($B$6:G6)+SUM($B$9:G9))&lt;0,999.99,SUM($B$10:G10)/(SUM($B$6:G6)+SUM($B$9:G9))),"")</f>
        <v>0.1695586245017462</v>
      </c>
      <c r="H12" s="82">
        <f>IF(H13="Yes",IF(SUM($B$10:H10)/(SUM($B$6:H6)+SUM($B$9:H9))&lt;0,999.99,SUM($B$10:H10)/(SUM($B$6:H6)+SUM($B$9:H9))),"")</f>
        <v>0.16950612138691</v>
      </c>
      <c r="I12" s="82">
        <f>IF(I13="Yes",IF(SUM($B$10:I10)/(SUM($B$6:I6)+SUM($B$9:I9))&lt;0,999.99,SUM($B$10:I10)/(SUM($B$6:I6)+SUM($B$9:I9))),"")</f>
        <v>0.2092453063059735</v>
      </c>
      <c r="J12" s="82">
        <f>IF(J13="Yes",IF(SUM($B$10:J10)/(SUM($B$6:J6)+SUM($B$9:J9))&lt;0,999.99,SUM($B$10:J10)/(SUM($B$6:J6)+SUM($B$9:J9))),"")</f>
        <v>0.2549194054618851</v>
      </c>
      <c r="K12" s="82">
        <f>IF(K13="Yes",IF(SUM($B$10:K10)/(SUM($B$6:K6)+SUM($B$9:K9))&lt;0,999.99,SUM($B$10:K10)/(SUM($B$6:K6)+SUM($B$9:K9))),"")</f>
        <v>0.2807407990597421</v>
      </c>
      <c r="L12" s="82">
        <f>IF(L13="Yes",IF(SUM($B$10:L10)/(SUM($B$6:L6)+SUM($B$9:L9))&lt;0,999.99,SUM($B$10:L10)/(SUM($B$6:L6)+SUM($B$9:L9))),"")</f>
        <v>0.3096565662717503</v>
      </c>
      <c r="M12" s="82">
        <f>IF(M13="Yes",IF(SUM($B$10:M10)/(SUM($B$6:M6)+SUM($B$9:M9))&lt;0,999.99,SUM($B$10:M10)/(SUM($B$6:M6)+SUM($B$9:M9))),"")</f>
        <v>0.3336425650180482</v>
      </c>
      <c r="N12" s="82">
        <f>IF(N13="Yes",IF(SUM($B$10:N10)/(SUM($B$6:N6)+SUM($B$9:N9))&lt;0,999.99,SUM($B$10:N10)/(SUM($B$6:N6)+SUM($B$9:N9))),"")</f>
        <v>0.3080225327358602</v>
      </c>
      <c r="O12" s="82">
        <f>IF(O13="Yes",IF(SUM($B$10:O10)/(SUM($B$6:O6)+SUM($B$9:O9))&lt;0,999.99,SUM($B$10:O10)/(SUM($B$6:O6)+SUM($B$9:O9))),"")</f>
        <v>0.3364839073461047</v>
      </c>
      <c r="P12" s="82">
        <f>IF(P13="Yes",IF(SUM($B$10:P10)/(SUM($B$6:P6)+SUM($B$9:P9))&lt;0,999.99,SUM($B$10:P10)/(SUM($B$6:P6)+SUM($B$9:P9))),"")</f>
        <v>0.3766772743360178</v>
      </c>
      <c r="Q12" s="82">
        <f>IF(Q13="Yes",IF(SUM($B$10:Q10)/(SUM($B$6:Q6)+SUM($B$9:Q9))&lt;0,999.99,SUM($B$10:Q10)/(SUM($B$6:Q6)+SUM($B$9:Q9))),"")</f>
        <v>0.3931445965673152</v>
      </c>
      <c r="R12" s="82">
        <f>IF(R13="Yes",IF(SUM($B$10:R10)/(SUM($B$6:R6)+SUM($B$9:R9))&lt;0,999.99,SUM($B$10:R10)/(SUM($B$6:R6)+SUM($B$9:R9))),"")</f>
        <v>0.4134267115539995</v>
      </c>
      <c r="S12" s="82">
        <f>IF(S13="Yes",IF(SUM($B$10:S10)/(SUM($B$6:S6)+SUM($B$9:S9))&lt;0,999.99,SUM($B$10:S10)/(SUM($B$6:S6)+SUM($B$9:S9))),"")</f>
        <v>0.4283438625080271</v>
      </c>
      <c r="T12" s="82">
        <f>IF(T13="Yes",IF(SUM($B$10:T10)/(SUM($B$6:T6)+SUM($B$9:T9))&lt;0,999.99,SUM($B$10:T10)/(SUM($B$6:T6)+SUM($B$9:T9))),"")</f>
        <v>0.3914086014622611</v>
      </c>
      <c r="U12" s="82">
        <f>IF(U13="Yes",IF(SUM($B$10:U10)/(SUM($B$6:U6)+SUM($B$9:U9))&lt;0,999.99,SUM($B$10:U10)/(SUM($B$6:U6)+SUM($B$9:U9))),"")</f>
        <v>0.4275837850719783</v>
      </c>
      <c r="V12" s="82">
        <f>IF(V13="Yes",IF(SUM($B$10:V10)/(SUM($B$6:V6)+SUM($B$9:V9))&lt;0,999.99,SUM($B$10:V10)/(SUM($B$6:V6)+SUM($B$9:V9))),"")</f>
        <v>0.4654627114692605</v>
      </c>
      <c r="W12" s="82">
        <f>IF(W13="Yes",IF(SUM($B$10:W10)/(SUM($B$6:W6)+SUM($B$9:W9))&lt;0,999.99,SUM($B$10:W10)/(SUM($B$6:W6)+SUM($B$9:W9))),"")</f>
        <v>0.4777634965102928</v>
      </c>
      <c r="X12" s="82">
        <f>IF(X13="Yes",IF(SUM($B$10:X10)/(SUM($B$6:X6)+SUM($B$9:X9))&lt;0,999.99,SUM($B$10:X10)/(SUM($B$6:X6)+SUM($B$9:X9))),"")</f>
        <v>0.4943616307431884</v>
      </c>
      <c r="Y12" s="82">
        <f>IF(Y13="Yes",IF(SUM($B$10:Y10)/(SUM($B$6:Y6)+SUM($B$9:Y9))&lt;0,999.99,SUM($B$10:Y10)/(SUM($B$6:Y6)+SUM($B$9:Y9))),"")</f>
        <v>0.5056207259062807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363659.1075144418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363659.1075144418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363659.1075144418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363659.1075144418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1454636.430057767</v>
      </c>
      <c r="AA19" s="36">
        <f>SUM(B19:M19)</f>
        <v>727318.2150288835</v>
      </c>
      <c r="AB19" s="36">
        <f>SUM(B19:Y19)</f>
        <v>1454636.430057767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4320000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543659.1075144417</v>
      </c>
      <c r="C30" s="19">
        <f>SUM(C18:C29)</f>
        <v>180000</v>
      </c>
      <c r="D30" s="19">
        <f>SUM(D18:D29)</f>
        <v>180000</v>
      </c>
      <c r="E30" s="19">
        <f>SUM(E18:E29)</f>
        <v>180000</v>
      </c>
      <c r="F30" s="19">
        <f>SUM(F18:F29)</f>
        <v>180000</v>
      </c>
      <c r="G30" s="19">
        <f>SUM(G18:G29)</f>
        <v>180000</v>
      </c>
      <c r="H30" s="19">
        <f>SUM(H18:H29)</f>
        <v>543659.1075144417</v>
      </c>
      <c r="I30" s="19">
        <f>SUM(I18:I29)</f>
        <v>180000</v>
      </c>
      <c r="J30" s="19">
        <f>SUM(J18:J29)</f>
        <v>180000</v>
      </c>
      <c r="K30" s="19">
        <f>SUM(K18:K29)</f>
        <v>180000</v>
      </c>
      <c r="L30" s="19">
        <f>SUM(L18:L29)</f>
        <v>180000</v>
      </c>
      <c r="M30" s="19">
        <f>SUM(M18:M29)</f>
        <v>180000</v>
      </c>
      <c r="N30" s="19">
        <f>SUM(N18:N29)</f>
        <v>543659.1075144417</v>
      </c>
      <c r="O30" s="19">
        <f>SUM(O18:O29)</f>
        <v>180000</v>
      </c>
      <c r="P30" s="19">
        <f>SUM(P18:P29)</f>
        <v>180000</v>
      </c>
      <c r="Q30" s="19">
        <f>SUM(Q18:Q29)</f>
        <v>180000</v>
      </c>
      <c r="R30" s="19">
        <f>SUM(R18:R29)</f>
        <v>180000</v>
      </c>
      <c r="S30" s="19">
        <f>SUM(S18:S29)</f>
        <v>180000</v>
      </c>
      <c r="T30" s="19">
        <f>SUM(T18:T29)</f>
        <v>543659.1075144417</v>
      </c>
      <c r="U30" s="19">
        <f>SUM(U18:U29)</f>
        <v>180000</v>
      </c>
      <c r="V30" s="19">
        <f>SUM(V18:V29)</f>
        <v>180000</v>
      </c>
      <c r="W30" s="19">
        <f>SUM(W18:W29)</f>
        <v>180000</v>
      </c>
      <c r="X30" s="19">
        <f>SUM(X18:X29)</f>
        <v>180000</v>
      </c>
      <c r="Y30" s="19">
        <f>SUM(Y18:Y29)</f>
        <v>180000</v>
      </c>
      <c r="Z30" s="19">
        <f>SUMIF($B$13:$Y$13,"Yes",B30:Y30)</f>
        <v>5774636.430057767</v>
      </c>
      <c r="AA30" s="19">
        <f>SUM(B30:M30)</f>
        <v>2887318.215028883</v>
      </c>
      <c r="AB30" s="19">
        <f>SUM(B30:Y30)</f>
        <v>5774636.430057767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168000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168000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168000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168000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672000</v>
      </c>
      <c r="AA42" s="36">
        <f>SUM(B42:M42)</f>
        <v>336000</v>
      </c>
      <c r="AB42" s="36">
        <f>SUM(B42:Y42)</f>
        <v>672000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168000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168000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168000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168000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672000</v>
      </c>
      <c r="AA44" s="36">
        <f>SUM(B44:M44)</f>
        <v>336000</v>
      </c>
      <c r="AB44" s="36">
        <f>SUM(B44:Y44)</f>
        <v>672000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30100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30100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30100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30100</v>
      </c>
      <c r="Y48" s="46">
        <f>SUM(Y49:Y53)</f>
        <v>0</v>
      </c>
      <c r="Z48" s="46">
        <f>SUMIF($B$13:$Y$13,"Yes",B48:Y48)</f>
        <v>120400</v>
      </c>
      <c r="AA48" s="46">
        <f>SUM(B48:M48)</f>
        <v>60200</v>
      </c>
      <c r="AB48" s="46">
        <f>SUM(B48:Y48)</f>
        <v>120400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30100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30100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30100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30100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120400</v>
      </c>
      <c r="AA50" s="46">
        <f>SUM(B50:M50)</f>
        <v>60200</v>
      </c>
      <c r="AB50" s="46">
        <f>SUM(B50:Y50)</f>
        <v>120400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8231.999999999998</v>
      </c>
      <c r="C66" s="36">
        <f>O66</f>
        <v>0</v>
      </c>
      <c r="D66" s="36">
        <f>P66</f>
        <v>8231.999999999998</v>
      </c>
      <c r="E66" s="36">
        <f>Q66</f>
        <v>8231.999999999998</v>
      </c>
      <c r="F66" s="36">
        <f>R66</f>
        <v>8231.999999999998</v>
      </c>
      <c r="G66" s="36">
        <f>S66</f>
        <v>8231.999999999998</v>
      </c>
      <c r="H66" s="36">
        <f>T66</f>
        <v>8231.999999999998</v>
      </c>
      <c r="I66" s="36">
        <f>U66</f>
        <v>0</v>
      </c>
      <c r="J66" s="36">
        <f>V66</f>
        <v>8231.999999999998</v>
      </c>
      <c r="K66" s="36">
        <f>W66</f>
        <v>8231.999999999998</v>
      </c>
      <c r="L66" s="36">
        <f>X66</f>
        <v>8231.999999999998</v>
      </c>
      <c r="M66" s="36">
        <f>Y66</f>
        <v>8231.999999999998</v>
      </c>
      <c r="N66" s="46">
        <f>SUM(N67:N71)</f>
        <v>8231.999999999998</v>
      </c>
      <c r="O66" s="46">
        <f>SUM(O67:O71)</f>
        <v>0</v>
      </c>
      <c r="P66" s="46">
        <f>SUM(P67:P71)</f>
        <v>8231.999999999998</v>
      </c>
      <c r="Q66" s="46">
        <f>SUM(Q67:Q71)</f>
        <v>8231.999999999998</v>
      </c>
      <c r="R66" s="46">
        <f>SUM(R67:R71)</f>
        <v>8231.999999999998</v>
      </c>
      <c r="S66" s="46">
        <f>SUM(S67:S71)</f>
        <v>8231.999999999998</v>
      </c>
      <c r="T66" s="46">
        <f>SUM(T67:T71)</f>
        <v>8231.999999999998</v>
      </c>
      <c r="U66" s="46">
        <f>SUM(U67:U71)</f>
        <v>0</v>
      </c>
      <c r="V66" s="46">
        <f>SUM(V67:V71)</f>
        <v>8231.999999999998</v>
      </c>
      <c r="W66" s="46">
        <f>SUM(W67:W71)</f>
        <v>8231.999999999998</v>
      </c>
      <c r="X66" s="46">
        <f>SUM(X67:X71)</f>
        <v>8231.999999999998</v>
      </c>
      <c r="Y66" s="46">
        <f>SUM(Y67:Y71)</f>
        <v>8231.999999999998</v>
      </c>
      <c r="Z66" s="46">
        <f>SUMIF($B$13:$Y$13,"Yes",B66:Y66)</f>
        <v>164640</v>
      </c>
      <c r="AA66" s="46">
        <f>SUM(B66:M66)</f>
        <v>82319.99999999999</v>
      </c>
      <c r="AB66" s="46">
        <f>SUM(B66:Y66)</f>
        <v>164640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Potatoes</v>
      </c>
      <c r="B68" s="36">
        <f>N68</f>
        <v>8231.999999999998</v>
      </c>
      <c r="C68" s="36">
        <f>O68</f>
        <v>0</v>
      </c>
      <c r="D68" s="36">
        <f>P68</f>
        <v>8231.999999999998</v>
      </c>
      <c r="E68" s="36">
        <f>Q68</f>
        <v>8231.999999999998</v>
      </c>
      <c r="F68" s="36">
        <f>R68</f>
        <v>8231.999999999998</v>
      </c>
      <c r="G68" s="36">
        <f>S68</f>
        <v>8231.999999999998</v>
      </c>
      <c r="H68" s="36">
        <f>T68</f>
        <v>8231.999999999998</v>
      </c>
      <c r="I68" s="36">
        <f>U68</f>
        <v>0</v>
      </c>
      <c r="J68" s="36">
        <f>V68</f>
        <v>8231.999999999998</v>
      </c>
      <c r="K68" s="36">
        <f>W68</f>
        <v>8231.999999999998</v>
      </c>
      <c r="L68" s="36">
        <f>X68</f>
        <v>8231.999999999998</v>
      </c>
      <c r="M68" s="36">
        <f>Y68</f>
        <v>8231.999999999998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8231.999999999998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8231.999999999998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8231.999999999998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8231.999999999998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8231.999999999998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8231.999999999998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8231.999999999998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8231.999999999998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8231.999999999998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8231.999999999998</v>
      </c>
      <c r="Z68" s="46">
        <f>SUMIF($B$13:$Y$13,"Yes",B68:Y68)</f>
        <v>164640</v>
      </c>
      <c r="AA68" s="46">
        <f>SUM(B68:M68)</f>
        <v>82319.99999999999</v>
      </c>
      <c r="AB68" s="46">
        <f>SUM(B68:Y68)</f>
        <v>164640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180000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180000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360000</v>
      </c>
      <c r="AA72" s="46">
        <f>SUM(B72:M72)</f>
        <v>180000</v>
      </c>
      <c r="AB72" s="46">
        <f>SUM(B72:Y72)</f>
        <v>360000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1200000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54226.60716762945</v>
      </c>
      <c r="C81" s="46">
        <f>(SUM($AA$18:$AA$29)-SUM($AA$36,$AA$42,$AA$48,$AA$54,$AA$60,$AA$66,$AA$72:$AA$79))*Parameters!$B$37/12</f>
        <v>54226.60716762945</v>
      </c>
      <c r="D81" s="46">
        <f>(SUM($AA$18:$AA$29)-SUM($AA$36,$AA$42,$AA$48,$AA$54,$AA$60,$AA$66,$AA$72:$AA$79))*Parameters!$B$37/12</f>
        <v>54226.60716762945</v>
      </c>
      <c r="E81" s="46">
        <f>(SUM($AA$18:$AA$29)-SUM($AA$36,$AA$42,$AA$48,$AA$54,$AA$60,$AA$66,$AA$72:$AA$79))*Parameters!$B$37/12</f>
        <v>54226.60716762945</v>
      </c>
      <c r="F81" s="46">
        <f>(SUM($AA$18:$AA$29)-SUM($AA$36,$AA$42,$AA$48,$AA$54,$AA$60,$AA$66,$AA$72:$AA$79))*Parameters!$B$37/12</f>
        <v>54226.60716762945</v>
      </c>
      <c r="G81" s="46">
        <f>(SUM($AA$18:$AA$29)-SUM($AA$36,$AA$42,$AA$48,$AA$54,$AA$60,$AA$66,$AA$72:$AA$79))*Parameters!$B$37/12</f>
        <v>54226.60716762945</v>
      </c>
      <c r="H81" s="46">
        <f>(SUM($AA$18:$AA$29)-SUM($AA$36,$AA$42,$AA$48,$AA$54,$AA$60,$AA$66,$AA$72:$AA$79))*Parameters!$B$37/12</f>
        <v>54226.60716762945</v>
      </c>
      <c r="I81" s="46">
        <f>(SUM($AA$18:$AA$29)-SUM($AA$36,$AA$42,$AA$48,$AA$54,$AA$60,$AA$66,$AA$72:$AA$79))*Parameters!$B$37/12</f>
        <v>54226.60716762945</v>
      </c>
      <c r="J81" s="46">
        <f>(SUM($AA$18:$AA$29)-SUM($AA$36,$AA$42,$AA$48,$AA$54,$AA$60,$AA$66,$AA$72:$AA$79))*Parameters!$B$37/12</f>
        <v>54226.60716762945</v>
      </c>
      <c r="K81" s="46">
        <f>(SUM($AA$18:$AA$29)-SUM($AA$36,$AA$42,$AA$48,$AA$54,$AA$60,$AA$66,$AA$72:$AA$79))*Parameters!$B$37/12</f>
        <v>54226.60716762945</v>
      </c>
      <c r="L81" s="46">
        <f>(SUM($AA$18:$AA$29)-SUM($AA$36,$AA$42,$AA$48,$AA$54,$AA$60,$AA$66,$AA$72:$AA$79))*Parameters!$B$37/12</f>
        <v>54226.60716762945</v>
      </c>
      <c r="M81" s="46">
        <f>(SUM($AA$18:$AA$29)-SUM($AA$36,$AA$42,$AA$48,$AA$54,$AA$60,$AA$66,$AA$72:$AA$79))*Parameters!$B$37/12</f>
        <v>54226.60716762945</v>
      </c>
      <c r="N81" s="46">
        <f>(SUM($AA$18:$AA$29)-SUM($AA$36,$AA$42,$AA$48,$AA$54,$AA$60,$AA$66,$AA$72:$AA$79))*Parameters!$B$37/12</f>
        <v>54226.60716762945</v>
      </c>
      <c r="O81" s="46">
        <f>(SUM($AA$18:$AA$29)-SUM($AA$36,$AA$42,$AA$48,$AA$54,$AA$60,$AA$66,$AA$72:$AA$79))*Parameters!$B$37/12</f>
        <v>54226.60716762945</v>
      </c>
      <c r="P81" s="46">
        <f>(SUM($AA$18:$AA$29)-SUM($AA$36,$AA$42,$AA$48,$AA$54,$AA$60,$AA$66,$AA$72:$AA$79))*Parameters!$B$37/12</f>
        <v>54226.60716762945</v>
      </c>
      <c r="Q81" s="46">
        <f>(SUM($AA$18:$AA$29)-SUM($AA$36,$AA$42,$AA$48,$AA$54,$AA$60,$AA$66,$AA$72:$AA$79))*Parameters!$B$37/12</f>
        <v>54226.60716762945</v>
      </c>
      <c r="R81" s="46">
        <f>(SUM($AA$18:$AA$29)-SUM($AA$36,$AA$42,$AA$48,$AA$54,$AA$60,$AA$66,$AA$72:$AA$79))*Parameters!$B$37/12</f>
        <v>54226.60716762945</v>
      </c>
      <c r="S81" s="46">
        <f>(SUM($AA$18:$AA$29)-SUM($AA$36,$AA$42,$AA$48,$AA$54,$AA$60,$AA$66,$AA$72:$AA$79))*Parameters!$B$37/12</f>
        <v>54226.60716762945</v>
      </c>
      <c r="T81" s="46">
        <f>(SUM($AA$18:$AA$29)-SUM($AA$36,$AA$42,$AA$48,$AA$54,$AA$60,$AA$66,$AA$72:$AA$79))*Parameters!$B$37/12</f>
        <v>54226.60716762945</v>
      </c>
      <c r="U81" s="46">
        <f>(SUM($AA$18:$AA$29)-SUM($AA$36,$AA$42,$AA$48,$AA$54,$AA$60,$AA$66,$AA$72:$AA$79))*Parameters!$B$37/12</f>
        <v>54226.60716762945</v>
      </c>
      <c r="V81" s="46">
        <f>(SUM($AA$18:$AA$29)-SUM($AA$36,$AA$42,$AA$48,$AA$54,$AA$60,$AA$66,$AA$72:$AA$79))*Parameters!$B$37/12</f>
        <v>54226.60716762945</v>
      </c>
      <c r="W81" s="46">
        <f>(SUM($AA$18:$AA$29)-SUM($AA$36,$AA$42,$AA$48,$AA$54,$AA$60,$AA$66,$AA$72:$AA$79))*Parameters!$B$37/12</f>
        <v>54226.60716762945</v>
      </c>
      <c r="X81" s="46">
        <f>(SUM($AA$18:$AA$29)-SUM($AA$36,$AA$42,$AA$48,$AA$54,$AA$60,$AA$66,$AA$72:$AA$79))*Parameters!$B$37/12</f>
        <v>54226.60716762945</v>
      </c>
      <c r="Y81" s="46">
        <f>(SUM($AA$18:$AA$29)-SUM($AA$36,$AA$42,$AA$48,$AA$54,$AA$60,$AA$66,$AA$72:$AA$79))*Parameters!$B$37/12</f>
        <v>54226.60716762945</v>
      </c>
      <c r="Z81" s="46">
        <f>SUMIF($B$13:$Y$13,"Yes",B81:Y81)</f>
        <v>1301438.572023107</v>
      </c>
      <c r="AA81" s="46">
        <f>SUM(B81:M81)</f>
        <v>650719.2860115534</v>
      </c>
      <c r="AB81" s="46">
        <f>SUM(B81:Y81)</f>
        <v>1301438.572023107</v>
      </c>
    </row>
    <row r="82" spans="1:30">
      <c r="A82" s="16" t="s">
        <v>52</v>
      </c>
      <c r="B82" s="46">
        <f>SUM(B83:B87)</f>
        <v>26787.89533214228</v>
      </c>
      <c r="C82" s="46">
        <f>SUM(C83:C87)</f>
        <v>26787.89533214228</v>
      </c>
      <c r="D82" s="46">
        <f>SUM(D83:D87)</f>
        <v>26787.89533214228</v>
      </c>
      <c r="E82" s="46">
        <f>SUM(E83:E87)</f>
        <v>26787.89533214228</v>
      </c>
      <c r="F82" s="46">
        <f>SUM(F83:F87)</f>
        <v>26787.89533214228</v>
      </c>
      <c r="G82" s="46">
        <f>SUM(G83:G87)</f>
        <v>26787.89533214228</v>
      </c>
      <c r="H82" s="46">
        <f>SUM(H83:H87)</f>
        <v>26787.89533214228</v>
      </c>
      <c r="I82" s="46">
        <f>SUM(I83:I87)</f>
        <v>26787.89533214228</v>
      </c>
      <c r="J82" s="46">
        <f>SUM(J83:J87)</f>
        <v>41296.02299171675</v>
      </c>
      <c r="K82" s="46">
        <f>SUM(K83:K87)</f>
        <v>21302.16284987277</v>
      </c>
      <c r="L82" s="46">
        <f>SUM(L83:L87)</f>
        <v>21302.16284987277</v>
      </c>
      <c r="M82" s="46">
        <f>SUM(M83:M87)</f>
        <v>21302.16284987277</v>
      </c>
      <c r="N82" s="46">
        <f>SUM(N83:N87)</f>
        <v>21302.16284987277</v>
      </c>
      <c r="O82" s="46">
        <f>SUM(O83:O87)</f>
        <v>97905.21628498727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438713.0533333333</v>
      </c>
      <c r="AA82" s="46">
        <f>SUM(B82:M82)</f>
        <v>319505.6741984733</v>
      </c>
      <c r="AB82" s="46">
        <f>SUM(B82:Y82)</f>
        <v>438713.0533333333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5485.732482269504</v>
      </c>
      <c r="C84" s="46">
        <f>IF(Calculations!$E24&gt;COUNT(Output!$B$35:C$35),Calculations!$B24,IF(Calculations!$E24=COUNT(Output!$B$35:C$35),Inputs!$B57-Calculations!$C24*(Calculations!$E24-1)+Calculations!$D24,0))</f>
        <v>5485.732482269504</v>
      </c>
      <c r="D84" s="46">
        <f>IF(Calculations!$E24&gt;COUNT(Output!$B$35:D$35),Calculations!$B24,IF(Calculations!$E24=COUNT(Output!$B$35:D$35),Inputs!$B57-Calculations!$C24*(Calculations!$E24-1)+Calculations!$D24,0))</f>
        <v>5485.732482269504</v>
      </c>
      <c r="E84" s="46">
        <f>IF(Calculations!$E24&gt;COUNT(Output!$B$35:E$35),Calculations!$B24,IF(Calculations!$E24=COUNT(Output!$B$35:E$35),Inputs!$B57-Calculations!$C24*(Calculations!$E24-1)+Calculations!$D24,0))</f>
        <v>5485.732482269504</v>
      </c>
      <c r="F84" s="46">
        <f>IF(Calculations!$E24&gt;COUNT(Output!$B$35:F$35),Calculations!$B24,IF(Calculations!$E24=COUNT(Output!$B$35:F$35),Inputs!$B57-Calculations!$C24*(Calculations!$E24-1)+Calculations!$D24,0))</f>
        <v>5485.732482269504</v>
      </c>
      <c r="G84" s="46">
        <f>IF(Calculations!$E24&gt;COUNT(Output!$B$35:G$35),Calculations!$B24,IF(Calculations!$E24=COUNT(Output!$B$35:G$35),Inputs!$B57-Calculations!$C24*(Calculations!$E24-1)+Calculations!$D24,0))</f>
        <v>5485.732482269504</v>
      </c>
      <c r="H84" s="46">
        <f>IF(Calculations!$E24&gt;COUNT(Output!$B$35:H$35),Calculations!$B24,IF(Calculations!$E24=COUNT(Output!$B$35:H$35),Inputs!$B57-Calculations!$C24*(Calculations!$E24-1)+Calculations!$D24,0))</f>
        <v>5485.732482269504</v>
      </c>
      <c r="I84" s="46">
        <f>IF(Calculations!$E24&gt;COUNT(Output!$B$35:I$35),Calculations!$B24,IF(Calculations!$E24=COUNT(Output!$B$35:I$35),Inputs!$B57-Calculations!$C24*(Calculations!$E24-1)+Calculations!$D24,0))</f>
        <v>5485.732482269504</v>
      </c>
      <c r="J84" s="46">
        <f>IF(Calculations!$E24&gt;COUNT(Output!$B$35:J$35),Calculations!$B24,IF(Calculations!$E24=COUNT(Output!$B$35:J$35),Inputs!$B57-Calculations!$C24*(Calculations!$E24-1)+Calculations!$D24,0))</f>
        <v>19993.86014184397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63879.71999999999</v>
      </c>
      <c r="AA84" s="46">
        <f>SUM(B84:M84)</f>
        <v>63879.71999999999</v>
      </c>
      <c r="AB84" s="46">
        <f>SUM(B84:Y84)</f>
        <v>63879.71999999999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21302.16284987277</v>
      </c>
      <c r="C85" s="46">
        <f>IF(Calculations!$E25&gt;COUNT(Output!$B$35:C$35),Calculations!$B25,IF(Calculations!$E25=COUNT(Output!$B$35:C$35),Inputs!$B58-Calculations!$C25*(Calculations!$E25-1)+Calculations!$D25,0))</f>
        <v>21302.16284987277</v>
      </c>
      <c r="D85" s="46">
        <f>IF(Calculations!$E25&gt;COUNT(Output!$B$35:D$35),Calculations!$B25,IF(Calculations!$E25=COUNT(Output!$B$35:D$35),Inputs!$B58-Calculations!$C25*(Calculations!$E25-1)+Calculations!$D25,0))</f>
        <v>21302.16284987277</v>
      </c>
      <c r="E85" s="46">
        <f>IF(Calculations!$E25&gt;COUNT(Output!$B$35:E$35),Calculations!$B25,IF(Calculations!$E25=COUNT(Output!$B$35:E$35),Inputs!$B58-Calculations!$C25*(Calculations!$E25-1)+Calculations!$D25,0))</f>
        <v>21302.16284987277</v>
      </c>
      <c r="F85" s="46">
        <f>IF(Calculations!$E25&gt;COUNT(Output!$B$35:F$35),Calculations!$B25,IF(Calculations!$E25=COUNT(Output!$B$35:F$35),Inputs!$B58-Calculations!$C25*(Calculations!$E25-1)+Calculations!$D25,0))</f>
        <v>21302.16284987277</v>
      </c>
      <c r="G85" s="46">
        <f>IF(Calculations!$E25&gt;COUNT(Output!$B$35:G$35),Calculations!$B25,IF(Calculations!$E25=COUNT(Output!$B$35:G$35),Inputs!$B58-Calculations!$C25*(Calculations!$E25-1)+Calculations!$D25,0))</f>
        <v>21302.16284987277</v>
      </c>
      <c r="H85" s="46">
        <f>IF(Calculations!$E25&gt;COUNT(Output!$B$35:H$35),Calculations!$B25,IF(Calculations!$E25=COUNT(Output!$B$35:H$35),Inputs!$B58-Calculations!$C25*(Calculations!$E25-1)+Calculations!$D25,0))</f>
        <v>21302.16284987277</v>
      </c>
      <c r="I85" s="46">
        <f>IF(Calculations!$E25&gt;COUNT(Output!$B$35:I$35),Calculations!$B25,IF(Calculations!$E25=COUNT(Output!$B$35:I$35),Inputs!$B58-Calculations!$C25*(Calculations!$E25-1)+Calculations!$D25,0))</f>
        <v>21302.16284987277</v>
      </c>
      <c r="J85" s="46">
        <f>IF(Calculations!$E25&gt;COUNT(Output!$B$35:J$35),Calculations!$B25,IF(Calculations!$E25=COUNT(Output!$B$35:J$35),Inputs!$B58-Calculations!$C25*(Calculations!$E25-1)+Calculations!$D25,0))</f>
        <v>21302.16284987277</v>
      </c>
      <c r="K85" s="46">
        <f>IF(Calculations!$E25&gt;COUNT(Output!$B$35:K$35),Calculations!$B25,IF(Calculations!$E25=COUNT(Output!$B$35:K$35),Inputs!$B58-Calculations!$C25*(Calculations!$E25-1)+Calculations!$D25,0))</f>
        <v>21302.16284987277</v>
      </c>
      <c r="L85" s="46">
        <f>IF(Calculations!$E25&gt;COUNT(Output!$B$35:L$35),Calculations!$B25,IF(Calculations!$E25=COUNT(Output!$B$35:L$35),Inputs!$B58-Calculations!$C25*(Calculations!$E25-1)+Calculations!$D25,0))</f>
        <v>21302.16284987277</v>
      </c>
      <c r="M85" s="46">
        <f>IF(Calculations!$E25&gt;COUNT(Output!$B$35:M$35),Calculations!$B25,IF(Calculations!$E25=COUNT(Output!$B$35:M$35),Inputs!$B58-Calculations!$C25*(Calculations!$E25-1)+Calculations!$D25,0))</f>
        <v>21302.16284987277</v>
      </c>
      <c r="N85" s="46">
        <f>IF(Calculations!$E25&gt;COUNT(Output!$B$35:N$35),Calculations!$B25,IF(Calculations!$E25=COUNT(Output!$B$35:N$35),Inputs!$B58-Calculations!$C25*(Calculations!$E25-1)+Calculations!$D25,0))</f>
        <v>21302.16284987277</v>
      </c>
      <c r="O85" s="46">
        <f>IF(Calculations!$E25&gt;COUNT(Output!$B$35:O$35),Calculations!$B25,IF(Calculations!$E25=COUNT(Output!$B$35:O$35),Inputs!$B58-Calculations!$C25*(Calculations!$E25-1)+Calculations!$D25,0))</f>
        <v>97905.21628498727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374833.3333333334</v>
      </c>
      <c r="AA85" s="46">
        <f>SUM(B85:M85)</f>
        <v>255625.9541984733</v>
      </c>
      <c r="AB85" s="46">
        <f>SUM(B85:Y85)</f>
        <v>374833.3333333334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139246.5024997717</v>
      </c>
      <c r="C88" s="19">
        <f>SUM(C72:C82,C66,C60,C54,C48,C42,C36)</f>
        <v>131014.5024997717</v>
      </c>
      <c r="D88" s="19">
        <f>SUM(D72:D82,D66,D60,D54,D48,D42,D36)</f>
        <v>307246.5024997717</v>
      </c>
      <c r="E88" s="19">
        <f>SUM(E72:E82,E66,E60,E54,E48,E42,E36)</f>
        <v>139246.5024997717</v>
      </c>
      <c r="F88" s="19">
        <f>SUM(F72:F82,F66,F60,F54,F48,F42,F36)</f>
        <v>169346.5024997717</v>
      </c>
      <c r="G88" s="19">
        <f>SUM(G72:G82,G66,G60,G54,G48,G42,G36)</f>
        <v>139246.5024997717</v>
      </c>
      <c r="H88" s="19">
        <f>SUM(H72:H82,H66,H60,H54,H48,H42,H36)</f>
        <v>139246.5024997717</v>
      </c>
      <c r="I88" s="19">
        <f>SUM(I72:I82,I66,I60,I54,I48,I42,I36)</f>
        <v>313014.5024997718</v>
      </c>
      <c r="J88" s="19">
        <f>SUM(J72:J82,J66,J60,J54,J48,J42,J36)</f>
        <v>321754.6301593462</v>
      </c>
      <c r="K88" s="19">
        <f>SUM(K72:K82,K66,K60,K54,K48,K42,K36)</f>
        <v>133760.7700175022</v>
      </c>
      <c r="L88" s="19">
        <f>SUM(L72:L82,L66,L60,L54,L48,L42,L36)</f>
        <v>163860.7700175022</v>
      </c>
      <c r="M88" s="19">
        <f>SUM(M72:M82,M66,M60,M54,M48,M42,M36)</f>
        <v>133760.7700175022</v>
      </c>
      <c r="N88" s="19">
        <f>SUM(N72:N82,N66,N60,N54,N48,N42,N36)</f>
        <v>133760.7700175022</v>
      </c>
      <c r="O88" s="19">
        <f>SUM(O72:O82,O66,O60,O54,O48,O42,O36)</f>
        <v>202131.8234526167</v>
      </c>
      <c r="P88" s="19">
        <f>SUM(P72:P82,P66,P60,P54,P48,P42,P36)</f>
        <v>280458.6071676294</v>
      </c>
      <c r="Q88" s="19">
        <f>SUM(Q72:Q82,Q66,Q60,Q54,Q48,Q42,Q36)</f>
        <v>112458.6071676294</v>
      </c>
      <c r="R88" s="19">
        <f>SUM(R72:R82,R66,R60,R54,R48,R42,R36)</f>
        <v>142558.6071676294</v>
      </c>
      <c r="S88" s="19">
        <f>SUM(S72:S82,S66,S60,S54,S48,S42,S36)</f>
        <v>112458.6071676294</v>
      </c>
      <c r="T88" s="19">
        <f>SUM(T72:T82,T66,T60,T54,T48,T42,T36)</f>
        <v>112458.6071676294</v>
      </c>
      <c r="U88" s="19">
        <f>SUM(U72:U82,U66,U60,U54,U48,U42,U36)</f>
        <v>286226.6071676295</v>
      </c>
      <c r="V88" s="19">
        <f>SUM(V72:V82,V66,V60,V54,V48,V42,V36)</f>
        <v>280458.6071676294</v>
      </c>
      <c r="W88" s="19">
        <f>SUM(W72:W82,W66,W60,W54,W48,W42,W36)</f>
        <v>112458.6071676294</v>
      </c>
      <c r="X88" s="19">
        <f>SUM(X72:X82,X66,X60,X54,X48,X42,X36)</f>
        <v>142558.6071676294</v>
      </c>
      <c r="Y88" s="19">
        <f>SUM(Y72:Y82,Y66,Y60,Y54,Y48,Y42,Y36)</f>
        <v>112458.6071676294</v>
      </c>
      <c r="Z88" s="19">
        <f>SUMIF($B$13:$Y$13,"Yes",B88:Y88)</f>
        <v>4261191.62535644</v>
      </c>
      <c r="AA88" s="19">
        <f>SUM(B88:M88)</f>
        <v>2230744.960210027</v>
      </c>
      <c r="AB88" s="19">
        <f>SUM(B88:Y88)</f>
        <v>4261191.62535644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2040000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371857</v>
      </c>
    </row>
    <row r="106" spans="1:30" customHeight="1" ht="15.75">
      <c r="A106" s="18" t="s">
        <v>71</v>
      </c>
      <c r="B106" s="37">
        <f>Calculations!G35</f>
        <v>1600000</v>
      </c>
    </row>
    <row r="107" spans="1:30" customHeight="1" ht="15.75">
      <c r="A107" s="1" t="s">
        <v>72</v>
      </c>
      <c r="B107" s="19">
        <f>SUM(B104:B106)</f>
        <v>1971857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7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180000</v>
      </c>
    </row>
    <row r="31" spans="1:48">
      <c r="A31" s="5" t="s">
        <v>119</v>
      </c>
      <c r="B31" s="158">
        <v>50000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98</v>
      </c>
    </row>
    <row r="41" spans="1:48">
      <c r="A41" s="55" t="s">
        <v>127</v>
      </c>
      <c r="B41" s="140">
        <v>180000</v>
      </c>
    </row>
    <row r="42" spans="1:48">
      <c r="A42" s="55" t="s">
        <v>128</v>
      </c>
      <c r="B42" s="139" t="s">
        <v>94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98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2000000</v>
      </c>
    </row>
    <row r="47" spans="1:48" customHeight="1" ht="30">
      <c r="A47" s="57" t="s">
        <v>134</v>
      </c>
      <c r="B47" s="161">
        <v>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40000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40000</v>
      </c>
      <c r="B56" s="159">
        <v>40000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103168</v>
      </c>
      <c r="B57" s="157">
        <v>46857</v>
      </c>
      <c r="C57" s="164" t="s">
        <v>148</v>
      </c>
      <c r="D57" s="165" t="s">
        <v>149</v>
      </c>
      <c r="E57" s="165" t="s">
        <v>98</v>
      </c>
      <c r="F57" s="165" t="s">
        <v>150</v>
      </c>
    </row>
    <row r="58" spans="1:48">
      <c r="A58" s="157">
        <v>350000</v>
      </c>
      <c r="B58" s="157">
        <v>285000</v>
      </c>
      <c r="C58" s="164" t="s">
        <v>151</v>
      </c>
      <c r="D58" s="165" t="s">
        <v>152</v>
      </c>
      <c r="E58" s="165" t="s">
        <v>92</v>
      </c>
      <c r="F58" s="165" t="s">
        <v>153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155</v>
      </c>
      <c r="C65" s="10" t="s">
        <v>156</v>
      </c>
    </row>
    <row r="66" spans="1:48">
      <c r="A66" s="142" t="s">
        <v>157</v>
      </c>
      <c r="B66" s="159">
        <v>1160000</v>
      </c>
      <c r="C66" s="163">
        <v>203000</v>
      </c>
      <c r="D66" s="49">
        <f>INDEX(Parameters!$D$79:$D$90,MATCH(Inputs!A66,Parameters!$C$79:$C$90,0))</f>
        <v>6</v>
      </c>
    </row>
    <row r="67" spans="1:48">
      <c r="A67" s="143" t="s">
        <v>99</v>
      </c>
      <c r="B67" s="157">
        <v>616000</v>
      </c>
      <c r="C67" s="165">
        <v>293000</v>
      </c>
      <c r="D67" s="49">
        <f>INDEX(Parameters!$D$79:$D$90,MATCH(Inputs!A67,Parameters!$C$79:$C$90,0))</f>
        <v>7</v>
      </c>
    </row>
    <row r="68" spans="1:48">
      <c r="A68" s="143" t="s">
        <v>158</v>
      </c>
      <c r="B68" s="157">
        <v>616000</v>
      </c>
      <c r="C68" s="165">
        <v>293000</v>
      </c>
      <c r="D68" s="49">
        <f>INDEX(Parameters!$D$79:$D$90,MATCH(Inputs!A68,Parameters!$C$79:$C$90,0))</f>
        <v>8</v>
      </c>
    </row>
    <row r="69" spans="1:48">
      <c r="A69" s="143" t="s">
        <v>159</v>
      </c>
      <c r="B69" s="157">
        <v>1596000</v>
      </c>
      <c r="C69" s="165">
        <v>383000</v>
      </c>
      <c r="D69" s="49">
        <f>INDEX(Parameters!$D$79:$D$90,MATCH(Inputs!A69,Parameters!$C$79:$C$90,0))</f>
        <v>9</v>
      </c>
    </row>
    <row r="70" spans="1:48">
      <c r="A70" s="143" t="s">
        <v>160</v>
      </c>
      <c r="B70" s="157">
        <v>616000</v>
      </c>
      <c r="C70" s="165">
        <v>293000</v>
      </c>
      <c r="D70" s="49">
        <f>INDEX(Parameters!$D$79:$D$90,MATCH(Inputs!A70,Parameters!$C$79:$C$90,0))</f>
        <v>10</v>
      </c>
    </row>
    <row r="71" spans="1:48">
      <c r="A71" s="144" t="s">
        <v>161</v>
      </c>
      <c r="B71" s="158">
        <v>616000</v>
      </c>
      <c r="C71" s="167">
        <v>293000</v>
      </c>
      <c r="D71" s="49">
        <f>INDEX(Parameters!$D$79:$D$90,MATCH(Inputs!A71,Parameters!$C$79:$C$90,0))</f>
        <v>11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9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1600000</v>
      </c>
    </row>
    <row r="82" spans="1:48">
      <c r="A82" t="s">
        <v>171</v>
      </c>
      <c r="B82" s="161">
        <v>18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36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43070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42917</v>
      </c>
      <c r="C5" s="39">
        <f>IFERROR(DATE(YEAR(B5),MONTH(B5)+ROUND(T5/2,0),DAY(B5)),B5)</f>
        <v>42979</v>
      </c>
      <c r="D5" s="39">
        <f>IFERROR(DATE(YEAR(B5),MONTH(B5)+T5,DAY(B5)),"")</f>
        <v>43040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43160</v>
      </c>
      <c r="G5" s="39">
        <f>IFERROR(IF($S5=0,"",IF($S5=2,DATE(YEAR(D5),MONTH(D5)+6,DAY(D5)),IF($S5=1,D5,""))),"")</f>
        <v>43221</v>
      </c>
      <c r="H5" s="16">
        <f>Inputs!C8</f>
        <v>7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34178.4875483498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727318.2150288835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168000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30100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58799.99999999999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40000</v>
      </c>
      <c r="B23" s="75">
        <f>SUM(C23:D23)</f>
        <v>733.3333333333334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733.3333333333334</v>
      </c>
      <c r="E23" s="75">
        <f>IFERROR(ROUNDUP(Inputs!B56/C23,0),0)</f>
        <v>0</v>
      </c>
    </row>
    <row r="24" spans="1:52">
      <c r="A24" s="46">
        <f>Inputs!A57</f>
        <v>103168</v>
      </c>
      <c r="B24" s="46">
        <f>SUM(C24:D24)</f>
        <v>5485.732482269504</v>
      </c>
      <c r="C24" s="46">
        <f>IF(Inputs!B57&gt;0,(Inputs!A57-Inputs!B57)/(DATE(YEAR(Inputs!$B$76),MONTH(Inputs!$B$76),DAY(Inputs!$B$76))-DATE(YEAR(Inputs!C57),MONTH(Inputs!C57),DAY(Inputs!C57)))*30,0)</f>
        <v>3594.31914893617</v>
      </c>
      <c r="D24" s="46">
        <f>IF(Inputs!B57&gt;0,Inputs!A57*0.22/12,0)</f>
        <v>1891.413333333333</v>
      </c>
      <c r="E24" s="46">
        <f>IFERROR(ROUNDUP(Inputs!B57/B24,0),0)</f>
        <v>9</v>
      </c>
      <c r="H24" s="1"/>
    </row>
    <row r="25" spans="1:52">
      <c r="A25" s="46">
        <f>Inputs!A58</f>
        <v>350000</v>
      </c>
      <c r="B25" s="46">
        <f>SUM(C25:D25)</f>
        <v>21302.16284987277</v>
      </c>
      <c r="C25" s="46">
        <f>IF(Inputs!B58&gt;0,(Inputs!A58-Inputs!B58)/(DATE(YEAR(Inputs!$B$76),MONTH(Inputs!$B$76),DAY(Inputs!$B$76))-DATE(YEAR(Inputs!C58),MONTH(Inputs!C58),DAY(Inputs!C58)))*30,0)</f>
        <v>14885.49618320611</v>
      </c>
      <c r="D25" s="46">
        <f>IF(Inputs!B58&gt;0,Inputs!A58*0.22/12,0)</f>
        <v>6416.666666666667</v>
      </c>
      <c r="E25" s="46">
        <f>IFERROR(ROUNDUP(Inputs!B58/B25,0),0)</f>
        <v>14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42912</v>
      </c>
      <c r="C33" s="27">
        <f>IF(B33&lt;&gt;"",IF(COUNT($A$33:A33)&lt;=$G$39,0,$G$41)+IF(COUNT($A$33:A33)&lt;=$G$40,0,$G$42),0)</f>
        <v>68444.44444444444</v>
      </c>
      <c r="D33" s="170">
        <f>IFERROR(DATE(YEAR(B33),MONTH(B33),1)," ")</f>
        <v>42887</v>
      </c>
      <c r="F33" t="s">
        <v>167</v>
      </c>
      <c r="G33" s="128">
        <f>IF(Inputs!B79="","",DATE(YEAR(Inputs!B79),MONTH(Inputs!B79),DAY(Inputs!B79)))</f>
        <v>42881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42942</v>
      </c>
      <c r="C34" s="27">
        <f>IF(B34&lt;&gt;"",IF(COUNT($A$33:A34)&lt;=$G$39,0,$G$41)+IF(COUNT($A$33:A34)&lt;=$G$40,0,$G$42),0)</f>
        <v>68444.44444444444</v>
      </c>
      <c r="D34" s="170">
        <f>IFERROR(DATE(YEAR(B34),MONTH(B34),1)," ")</f>
        <v>42917</v>
      </c>
      <c r="F34" t="s">
        <v>168</v>
      </c>
      <c r="G34" s="128">
        <f>IF(Inputs!B80="","",DATE(YEAR(Inputs!B80),MONTH(Inputs!B80),DAY(Inputs!B80)))</f>
        <v>42912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42973</v>
      </c>
      <c r="C35" s="27">
        <f>IF(B35&lt;&gt;"",IF(COUNT($A$33:A35)&lt;=$G$39,0,$G$41)+IF(COUNT($A$33:A35)&lt;=$G$40,0,$G$42),0)</f>
        <v>68444.44444444444</v>
      </c>
      <c r="D35" s="170">
        <f>IFERROR(DATE(YEAR(B35),MONTH(B35),1)," ")</f>
        <v>42948</v>
      </c>
      <c r="F35" t="s">
        <v>170</v>
      </c>
      <c r="G35" s="27">
        <f>Inputs!B81</f>
        <v>1600000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43004</v>
      </c>
      <c r="C36" s="27">
        <f>IF(B36&lt;&gt;"",IF(COUNT($A$33:A36)&lt;=$G$39,0,$G$41)+IF(COUNT($A$33:A36)&lt;=$G$40,0,$G$42),0)</f>
        <v>68444.44444444444</v>
      </c>
      <c r="D36" s="170">
        <f>IFERROR(DATE(YEAR(B36),MONTH(B36),1)," ")</f>
        <v>42979</v>
      </c>
      <c r="F36" t="s">
        <v>171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43034</v>
      </c>
      <c r="C37" s="27">
        <f>IF(B37&lt;&gt;"",IF(COUNT($A$33:A37)&lt;=$G$39,0,$G$41)+IF(COUNT($A$33:A37)&lt;=$G$40,0,$G$42),0)</f>
        <v>68444.44444444444</v>
      </c>
      <c r="D37" s="170">
        <f>IFERROR(DATE(YEAR(B37),MONTH(B37),1)," ")</f>
        <v>43009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43065</v>
      </c>
      <c r="C38" s="27">
        <f>IF(B38&lt;&gt;"",IF(COUNT($A$33:A38)&lt;=$G$39,0,$G$41)+IF(COUNT($A$33:A38)&lt;=$G$40,0,$G$42),0)</f>
        <v>68444.44444444444</v>
      </c>
      <c r="D38" s="170">
        <f>IFERROR(DATE(YEAR(B38),MONTH(B38),1)," ")</f>
        <v>43040</v>
      </c>
      <c r="F38" t="s">
        <v>233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43095</v>
      </c>
      <c r="C39" s="27">
        <f>IF(B39&lt;&gt;"",IF(COUNT($A$33:A39)&lt;=$G$39,0,$G$41)+IF(COUNT($A$33:A39)&lt;=$G$40,0,$G$42),0)</f>
        <v>68444.44444444444</v>
      </c>
      <c r="D39" s="170">
        <f>IFERROR(DATE(YEAR(B39),MONTH(B39),1)," ")</f>
        <v>43070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43126</v>
      </c>
      <c r="C40" s="27">
        <f>IF(B40&lt;&gt;"",IF(COUNT($A$33:A40)&lt;=$G$39,0,$G$41)+IF(COUNT($A$33:A40)&lt;=$G$40,0,$G$42),0)</f>
        <v>68444.44444444444</v>
      </c>
      <c r="D40" s="170">
        <f>IFERROR(DATE(YEAR(B40),MONTH(B40),1)," ")</f>
        <v>43101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43157</v>
      </c>
      <c r="C41" s="27">
        <f>IF(B41&lt;&gt;"",IF(COUNT($A$33:A41)&lt;=$G$39,0,$G$41)+IF(COUNT($A$33:A41)&lt;=$G$40,0,$G$42),0)</f>
        <v>68444.44444444444</v>
      </c>
      <c r="D41" s="170">
        <f>IFERROR(DATE(YEAR(B41),MONTH(B41),1)," ")</f>
        <v>43132</v>
      </c>
      <c r="F41" t="s">
        <v>234</v>
      </c>
      <c r="G41" s="73">
        <f>IFERROR(G35/(G38-G39),"")</f>
        <v>44444.44444444445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43185</v>
      </c>
      <c r="C42" s="27">
        <f>IF(B42&lt;&gt;"",IF(COUNT($A$33:A42)&lt;=$G$39,0,$G$41)+IF(COUNT($A$33:A42)&lt;=$G$40,0,$G$42),0)</f>
        <v>68444.44444444444</v>
      </c>
      <c r="D42" s="170">
        <f>IFERROR(DATE(YEAR(B42),MONTH(B42),1)," ")</f>
        <v>43160</v>
      </c>
      <c r="F42" t="s">
        <v>235</v>
      </c>
      <c r="G42" s="73">
        <f>IFERROR(G35*G36*IF(G37="Monthly",G38/12,IF(G37="Fortnightly",G38/(365/14),G38/(365/28)))/(G38-G40),"")</f>
        <v>24000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43216</v>
      </c>
      <c r="C43" s="27">
        <f>IF(B43&lt;&gt;"",IF(COUNT($A$33:A43)&lt;=$G$39,0,$G$41)+IF(COUNT($A$33:A43)&lt;=$G$40,0,$G$42),0)</f>
        <v>68444.44444444444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43246</v>
      </c>
      <c r="C44" s="27">
        <f>IF(B44&lt;&gt;"",IF(COUNT($A$33:A44)&lt;=$G$39,0,$G$41)+IF(COUNT($A$33:A44)&lt;=$G$40,0,$G$42),0)</f>
        <v>68444.44444444444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43277</v>
      </c>
      <c r="C45" s="27">
        <f>IF(B45&lt;&gt;"",IF(COUNT($A$33:A45)&lt;=$G$39,0,$G$41)+IF(COUNT($A$33:A45)&lt;=$G$40,0,$G$42),0)</f>
        <v>68444.44444444444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43307</v>
      </c>
      <c r="C46" s="27">
        <f>IF(B46&lt;&gt;"",IF(COUNT($A$33:A46)&lt;=$G$39,0,$G$41)+IF(COUNT($A$33:A46)&lt;=$G$40,0,$G$42),0)</f>
        <v>68444.44444444444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43338</v>
      </c>
      <c r="C47" s="27">
        <f>IF(B47&lt;&gt;"",IF(COUNT($A$33:A47)&lt;=$G$39,0,$G$41)+IF(COUNT($A$33:A47)&lt;=$G$40,0,$G$42),0)</f>
        <v>68444.44444444444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43369</v>
      </c>
      <c r="C48" s="27">
        <f>IF(B48&lt;&gt;"",IF(COUNT($A$33:A48)&lt;=$G$39,0,$G$41)+IF(COUNT($A$33:A48)&lt;=$G$40,0,$G$42),0)</f>
        <v>68444.44444444444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43399</v>
      </c>
      <c r="C49" s="27">
        <f>IF(B49&lt;&gt;"",IF(COUNT($A$33:A49)&lt;=$G$39,0,$G$41)+IF(COUNT($A$33:A49)&lt;=$G$40,0,$G$42),0)</f>
        <v>68444.44444444444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43430</v>
      </c>
      <c r="C50" s="27">
        <f>IF(B50&lt;&gt;"",IF(COUNT($A$33:A50)&lt;=$G$39,0,$G$41)+IF(COUNT($A$33:A50)&lt;=$G$40,0,$G$42),0)</f>
        <v>68444.44444444444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43460</v>
      </c>
      <c r="C51" s="27">
        <f>IF(B51&lt;&gt;"",IF(COUNT($A$33:A51)&lt;=$G$39,0,$G$41)+IF(COUNT($A$33:A51)&lt;=$G$40,0,$G$42),0)</f>
        <v>68444.44444444444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43491</v>
      </c>
      <c r="C52" s="27">
        <f>IF(B52&lt;&gt;"",IF(COUNT($A$33:A52)&lt;=$G$39,0,$G$41)+IF(COUNT($A$33:A52)&lt;=$G$40,0,$G$42),0)</f>
        <v>68444.44444444444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43522</v>
      </c>
      <c r="C53" s="27">
        <f>IF(B53&lt;&gt;"",IF(COUNT($A$33:A53)&lt;=$G$39,0,$G$41)+IF(COUNT($A$33:A53)&lt;=$G$40,0,$G$42),0)</f>
        <v>68444.44444444444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43550</v>
      </c>
      <c r="C54" s="27">
        <f>IF(B54&lt;&gt;"",IF(COUNT($A$33:A54)&lt;=$G$39,0,$G$41)+IF(COUNT($A$33:A54)&lt;=$G$40,0,$G$42),0)</f>
        <v>68444.44444444444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43581</v>
      </c>
      <c r="C55" s="27">
        <f>IF(B55&lt;&gt;"",IF(COUNT($A$33:A55)&lt;=$G$39,0,$G$41)+IF(COUNT($A$33:A55)&lt;=$G$40,0,$G$42),0)</f>
        <v>68444.44444444444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43611</v>
      </c>
      <c r="C56" s="27">
        <f>IF(B56&lt;&gt;"",IF(COUNT($A$33:A56)&lt;=$G$39,0,$G$41)+IF(COUNT($A$33:A56)&lt;=$G$40,0,$G$42),0)</f>
        <v>68444.44444444444</v>
      </c>
      <c r="D56" s="170">
        <f>IFERROR(DATE(YEAR(B56),MONTH(B56),1)," ")</f>
        <v>43586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43642</v>
      </c>
      <c r="C57" s="27">
        <f>IF(B57&lt;&gt;"",IF(COUNT($A$33:A57)&lt;=$G$39,0,$G$41)+IF(COUNT($A$33:A57)&lt;=$G$40,0,$G$42),0)</f>
        <v>68444.44444444444</v>
      </c>
      <c r="D57" s="170">
        <f>IFERROR(DATE(YEAR(B57),MONTH(B57),1)," ")</f>
        <v>43617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43672</v>
      </c>
      <c r="C58" s="27">
        <f>IF(B58&lt;&gt;"",IF(COUNT($A$33:A58)&lt;=$G$39,0,$G$41)+IF(COUNT($A$33:A58)&lt;=$G$40,0,$G$42),0)</f>
        <v>68444.44444444444</v>
      </c>
      <c r="D58" s="170">
        <f>IFERROR(DATE(YEAR(B58),MONTH(B58),1)," ")</f>
        <v>43647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43703</v>
      </c>
      <c r="C59" s="27">
        <f>IF(B59&lt;&gt;"",IF(COUNT($A$33:A59)&lt;=$G$39,0,$G$41)+IF(COUNT($A$33:A59)&lt;=$G$40,0,$G$42),0)</f>
        <v>68444.44444444444</v>
      </c>
      <c r="D59" s="170">
        <f>IFERROR(DATE(YEAR(B59),MONTH(B59),1)," ")</f>
        <v>43678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43734</v>
      </c>
      <c r="C60" s="27">
        <f>IF(B60&lt;&gt;"",IF(COUNT($A$33:A60)&lt;=$G$39,0,$G$41)+IF(COUNT($A$33:A60)&lt;=$G$40,0,$G$42),0)</f>
        <v>68444.44444444444</v>
      </c>
      <c r="D60" s="170">
        <f>IFERROR(DATE(YEAR(B60),MONTH(B60),1)," ")</f>
        <v>43709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43764</v>
      </c>
      <c r="C61" s="27">
        <f>IF(B61&lt;&gt;"",IF(COUNT($A$33:A61)&lt;=$G$39,0,$G$41)+IF(COUNT($A$33:A61)&lt;=$G$40,0,$G$42),0)</f>
        <v>68444.44444444444</v>
      </c>
      <c r="D61" s="170">
        <f>IFERROR(DATE(YEAR(B61),MONTH(B61),1)," ")</f>
        <v>43739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43795</v>
      </c>
      <c r="C62" s="27">
        <f>IF(B62&lt;&gt;"",IF(COUNT($A$33:A62)&lt;=$G$39,0,$G$41)+IF(COUNT($A$33:A62)&lt;=$G$40,0,$G$42),0)</f>
        <v>68444.44444444444</v>
      </c>
      <c r="D62" s="170">
        <f>IFERROR(DATE(YEAR(B62),MONTH(B62),1)," ")</f>
        <v>43770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43825</v>
      </c>
      <c r="C63" s="27">
        <f>IF(B63&lt;&gt;"",IF(COUNT($A$33:A63)&lt;=$G$39,0,$G$41)+IF(COUNT($A$33:A63)&lt;=$G$40,0,$G$42),0)</f>
        <v>68444.44444444444</v>
      </c>
      <c r="D63" s="170">
        <f>IFERROR(DATE(YEAR(B63),MONTH(B63),1)," ")</f>
        <v>43800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43856</v>
      </c>
      <c r="C64" s="27">
        <f>IF(B64&lt;&gt;"",IF(COUNT($A$33:A64)&lt;=$G$39,0,$G$41)+IF(COUNT($A$33:A64)&lt;=$G$40,0,$G$42),0)</f>
        <v>68444.44444444444</v>
      </c>
      <c r="D64" s="170">
        <f>IFERROR(DATE(YEAR(B64),MONTH(B64),1)," ")</f>
        <v>43831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43887</v>
      </c>
      <c r="C65" s="27">
        <f>IF(B65&lt;&gt;"",IF(COUNT($A$33:A65)&lt;=$G$39,0,$G$41)+IF(COUNT($A$33:A65)&lt;=$G$40,0,$G$42),0)</f>
        <v>68444.44444444444</v>
      </c>
      <c r="D65" s="170">
        <f>IFERROR(DATE(YEAR(B65),MONTH(B65),1)," ")</f>
        <v>43862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43916</v>
      </c>
      <c r="C66" s="27">
        <f>IF(B66&lt;&gt;"",IF(COUNT($A$33:A66)&lt;=$G$39,0,$G$41)+IF(COUNT($A$33:A66)&lt;=$G$40,0,$G$42),0)</f>
        <v>68444.44444444444</v>
      </c>
      <c r="D66" s="170">
        <f>IFERROR(DATE(YEAR(B66),MONTH(B66),1)," ")</f>
        <v>43891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43947</v>
      </c>
      <c r="C67" s="27">
        <f>IF(B67&lt;&gt;"",IF(COUNT($A$33:A67)&lt;=$G$39,0,$G$41)+IF(COUNT($A$33:A67)&lt;=$G$40,0,$G$42),0)</f>
        <v>68444.44444444444</v>
      </c>
      <c r="D67" s="170">
        <f>IFERROR(DATE(YEAR(B67),MONTH(B67),1)," ")</f>
        <v>43922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43977</v>
      </c>
      <c r="C68" s="27">
        <f>IF(B68&lt;&gt;"",IF(COUNT($A$33:A68)&lt;=$G$39,0,$G$41)+IF(COUNT($A$33:A68)&lt;=$G$40,0,$G$42),0)</f>
        <v>68444.44444444444</v>
      </c>
      <c r="D68" s="170">
        <f>IFERROR(DATE(YEAR(B68),MONTH(B68),1)," ")</f>
        <v>43952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208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101</v>
      </c>
      <c r="B41" s="191" t="s">
        <v>98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321</v>
      </c>
      <c r="H52" s="12" t="s">
        <v>130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236</v>
      </c>
      <c r="E53" s="10" t="s">
        <v>195</v>
      </c>
      <c r="F53" s="10" t="s">
        <v>255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173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232</v>
      </c>
      <c r="J76" s="11" t="s">
        <v>355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98</v>
      </c>
      <c r="F77" s="12" t="s">
        <v>98</v>
      </c>
      <c r="G77" s="12" t="s">
        <v>357</v>
      </c>
      <c r="H77" s="12" t="s">
        <v>130</v>
      </c>
      <c r="I77" s="12" t="s">
        <v>358</v>
      </c>
      <c r="J77" s="136" t="s">
        <v>359</v>
      </c>
      <c r="K77" s="12" t="s">
        <v>98</v>
      </c>
      <c r="AJ77" s="12"/>
    </row>
    <row r="78" spans="1:36">
      <c r="A78" t="s">
        <v>98</v>
      </c>
      <c r="B78" s="176">
        <v>5</v>
      </c>
      <c r="C78" s="134" t="s">
        <v>360</v>
      </c>
      <c r="D78" s="133"/>
      <c r="E78" s="12" t="s">
        <v>361</v>
      </c>
      <c r="F78" s="12" t="s">
        <v>362</v>
      </c>
      <c r="G78" s="12" t="s">
        <v>363</v>
      </c>
      <c r="H78" s="12" t="s">
        <v>322</v>
      </c>
      <c r="I78" s="12" t="s">
        <v>364</v>
      </c>
      <c r="J78" s="70" t="s">
        <v>365</v>
      </c>
      <c r="K78" s="12" t="s">
        <v>98</v>
      </c>
      <c r="AJ78" s="12"/>
    </row>
    <row r="79" spans="1:36">
      <c r="B79" s="176">
        <v>10</v>
      </c>
      <c r="C79" s="12" t="s">
        <v>366</v>
      </c>
      <c r="D79" s="12">
        <v>1</v>
      </c>
      <c r="E79" s="12" t="s">
        <v>367</v>
      </c>
      <c r="F79" s="12" t="s">
        <v>368</v>
      </c>
      <c r="G79" s="12" t="s">
        <v>369</v>
      </c>
      <c r="I79" s="12" t="s">
        <v>173</v>
      </c>
      <c r="J79" s="70" t="s">
        <v>96</v>
      </c>
      <c r="K79" s="12" t="s">
        <v>98</v>
      </c>
      <c r="AJ79" s="12"/>
    </row>
    <row r="80" spans="1:36">
      <c r="B80" s="176">
        <v>20</v>
      </c>
      <c r="C80" s="12" t="s">
        <v>370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372</v>
      </c>
      <c r="K81" s="12" t="s">
        <v>92</v>
      </c>
    </row>
    <row r="82" spans="1:36">
      <c r="B82" s="176">
        <v>40</v>
      </c>
      <c r="C82" s="12" t="s">
        <v>373</v>
      </c>
      <c r="D82" s="12">
        <f>D81+1</f>
        <v>4</v>
      </c>
      <c r="J82" s="70"/>
    </row>
    <row r="83" spans="1:36">
      <c r="B83" s="176">
        <v>50</v>
      </c>
      <c r="C83" s="12" t="s">
        <v>374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99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161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