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<sst xmlns="http://schemas.openxmlformats.org/spreadsheetml/2006/main" uniqueCount="371">
  <si>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</si>
  <si>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</si>
  <si>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</si>
  <si>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</si>
  <si>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</si>
  <si>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</si>
  <si>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</si>
  <si>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</si>
  <si>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</si>
  <si>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</si>
  <si>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</si>
  <si>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</si>
  <si>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</si>
  <si>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</si>
  <si>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</si>
  <si>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</si>
  <si>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</si>
  <si>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</si>
  <si>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</si>
  <si>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</si>
  <si>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</si>
  <si>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</si>
  <si>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</si>
  <si>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</si>
  <si>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</si>
  <si>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</si>
  <si>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</si>
  <si>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</si>
  <si>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</si>
  <si>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</si>
  <si>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</si>
  <si>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</si>
  <si>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</si>
  <si>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</si>
  <si>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</si>
  <si>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</si>
  <si>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</si>
  <si>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</si>
  <si>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</si>
  <si>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</si>
  <si>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</si>
  <si>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</si>
  <si>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</si>
  <si>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</si>
  <si>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</si>
  <si>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</si>
  <si>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</si>
  <si>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</si>
  <si>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</si>
  <si>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</si>
  <si>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</si>
  <si>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</si>
  <si>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</si>
  <si>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</si>
  <si>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</si>
  <si>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</si>
  <si>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</si>
  <si>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</si>
  <si>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</si>
  <si>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</si>
  <si>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</si>
  <si>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</si>
  <si>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</si>
  <si>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</si>
  <si>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</si>
  <si>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</si>
  <si>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</si>
  <si>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</si>
  <si>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</si>
  <si>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</si>
  <si>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</si>
  <si>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</si>
  <si>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</si>
  <si>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</si>
  <si>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</si>
  <si>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</si>
  <si>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</si>
  <si>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</si>
  <si>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</si>
  <si>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</si>
  <si>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</si>
  <si>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</si>
  <si>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</si>
  <si>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</si>
  <si>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</si>
  <si>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</si>
  <si>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</si>
  <si>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</si>
  <si>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</si>
  <si>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</si>
  <si>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</si>
  <si>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only manure</t>
  </si>
  <si>
    <t>No</t>
  </si>
  <si>
    <t>Yes without the use of a pump</t>
  </si>
  <si>
    <t>January</t>
  </si>
  <si>
    <t>Coffee</t>
  </si>
  <si>
    <t>Other farmers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</si>
  <si>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</si>
  <si>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</si>
  <si>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</si>
  <si>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</si>
  <si>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</si>
  <si>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</si>
  <si>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</si>
  <si>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</si>
  <si>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</si>
  <si>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</si>
  <si>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</si>
  <si>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</si>
  <si>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</si>
  <si>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</si>
  <si>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</si>
  <si>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</si>
  <si>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Pigs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</si>
  <si>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</si>
  <si>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</si>
  <si>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</si>
  <si>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</si>
  <si>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teacher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</si>
  <si>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</si>
  <si>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</si>
  <si>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</si>
  <si>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</si>
  <si>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</si>
  <si>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</si>
  <si>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</si>
  <si>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</si>
  <si>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</si>
  <si>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</si>
  <si>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</si>
  <si>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</si>
  <si>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</si>
  <si>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</si>
  <si>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</si>
  <si>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</si>
  <si>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</si>
  <si>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</si>
  <si>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</si>
  <si>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</si>
  <si>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</si>
  <si>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</si>
  <si>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</si>
  <si>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</si>
  <si>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</si>
  <si>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</si>
  <si>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</si>
  <si>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1/5/2016</t>
  </si>
  <si>
    <t>musoni kenya</t>
  </si>
  <si>
    <t>100% Repayment rate</t>
  </si>
  <si>
    <t>8/11/2014</t>
  </si>
  <si>
    <t>Faulu dtm</t>
  </si>
  <si>
    <t>good repayment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</si>
  <si>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</si>
  <si>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</si>
  <si>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</si>
  <si>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</si>
  <si>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</si>
  <si>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</si>
  <si>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</si>
  <si>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December</t>
  </si>
  <si>
    <t>Loan info</t>
  </si>
  <si>
    <t>Branch ID</t>
  </si>
  <si>
    <t>Submission date</t>
  </si>
  <si>
    <t>2017/5/29</t>
  </si>
  <si>
    <t>Loan terms</t>
  </si>
  <si>
    <t>Expected disbursement date</t>
  </si>
  <si>
    <t>Expected first repayment date</t>
  </si>
  <si>
    <t>2017/6/29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</si>
  <si>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</si>
  <si>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</si>
  <si>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</si>
  <si>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</si>
  <si>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</si>
  <si>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</si>
  <si>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</si>
  <si>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</si>
  <si>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</si>
  <si>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</si>
  <si>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</si>
  <si>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</si>
  <si>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</si>
  <si>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</si>
  <si>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</si>
  <si>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</si>
  <si>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</si>
  <si>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</si>
  <si>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</si>
  <si>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</si>
  <si>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</si>
  <si>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</si>
  <si>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</si>
  <si>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</si>
  <si>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</si>
  <si>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</si>
  <si>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</si>
  <si>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</si>
  <si>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</si>
  <si>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</si>
  <si>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</si>
  <si>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</si>
  <si>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</si>
  <si>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</si>
  <si>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</si>
  <si>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</si>
  <si>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</si>
  <si>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</si>
  <si>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</si>
  <si>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</si>
  <si>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</si>
  <si>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</si>
  <si>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</si>
  <si>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</si>
  <si>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</si>
  <si>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</si>
  <si>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</si>
  <si>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</si>
  <si>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</si>
  <si>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</si>
  <si>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</si>
  <si>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</si>
  <si>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</si>
  <si>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</si>
  <si>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</si>
  <si>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</si>
  <si>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</si>
  <si>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</si>
  <si>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</si>
  <si>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</si>
  <si>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</si>
  <si>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</si>
  <si>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</si>
  <si>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</si>
  <si>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</si>
  <si>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</si>
  <si>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</si>
  <si>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</si>
  <si>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</si>
  <si>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</si>
  <si>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</si>
  <si>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</si>
  <si>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</si>
  <si>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</si>
  <si>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</si>
  <si>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</si>
  <si>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</si>
  <si>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</si>
  <si>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</si>
  <si>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</si>
  <si>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</si>
  <si>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</si>
  <si>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</si>
  <si>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</si>
  <si>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</si>
  <si>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</si>
  <si>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</si>
  <si>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</si>
  <si>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</si>
  <si>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</si>
  <si>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</si>
  <si>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</si>
  <si>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</si>
  <si>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</si>
  <si>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</si>
  <si>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</si>
  <si>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</si>
  <si>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</si>
  <si>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</si>
  <si>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</si>
  <si>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</si>
  <si>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</si>
  <si>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</si>
  <si>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</si>
  <si>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</si>
  <si>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</si>
  <si>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</si>
  <si>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</si>
  <si>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</si>
  <si>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</si>
  <si>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</si>
  <si>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</si>
  <si>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</si>
  <si>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</si>
  <si>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</si>
  <si>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</si>
  <si>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</si>
  <si>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</si>
  <si>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</si>
  <si>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</si>
  <si>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</si>
  <si>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</si>
  <si>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</si>
  <si>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</si>
  <si>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</si>
  <si>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</si>
  <si>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</si>
  <si>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</si>
  <si>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</si>
  <si>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</si>
  <si>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</si>
  <si>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</si>
  <si>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</si>
  <si>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</si>
  <si>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</si>
  <si>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</si>
  <si>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</si>
  <si>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</si>
  <si>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</si>
  <si>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</si>
  <si>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</si>
  <si>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</si>
  <si>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</si>
  <si>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</si>
  <si>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</si>
  <si>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</si>
  <si>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</si>
  <si>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</si>
  <si>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</si>
  <si>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</si>
  <si>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</si>
  <si>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</si>
  <si>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</si>
  <si>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</si>
  <si>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</si>
  <si>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</si>
  <si>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</si>
  <si>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</si>
  <si>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</si>
  <si>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</si>
  <si>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</si>
  <si>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</si>
  <si>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</si>
  <si>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</si>
  <si>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</si>
  <si>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</si>
  <si>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</si>
  <si>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</si>
  <si>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</si>
  <si>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</si>
  <si>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</si>
  <si>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</si>
  <si>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</si>
  <si>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</si>
  <si>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</si>
  <si>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</si>
  <si>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</si>
  <si>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</si>
  <si>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</si>
  <si>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</si>
  <si>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</si>
  <si>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</si>
  <si>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</si>
  <si>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</si>
  <si>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</si>
  <si>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</si>
  <si>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</si>
  <si>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</si>
  <si>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</si>
  <si>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Weeks</t>
  </si>
  <si>
    <t>Yes inorganic fertilizers</t>
  </si>
  <si>
    <t>Yes using a solar pump</t>
  </si>
  <si>
    <t>Always</t>
  </si>
  <si>
    <t>Shop_common variety</t>
  </si>
  <si>
    <t>Yes both manure and inorganic</t>
  </si>
  <si>
    <t>Shop_certified variety</t>
  </si>
  <si>
    <t>NGO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</si>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</sst>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June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Coffee,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</v>
      </c>
    </row>
    <row r="8" spans="1:7">
      <c r="B8" s="1" t="s">
        <v>4</v>
      </c>
      <c r="C8" t="str">
        <f>IF(Inputs!B29="","None",Inputs!B29)</f>
        <v>teacher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0.8924094998783062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2018</v>
      </c>
    </row>
    <row r="13" spans="1:7">
      <c r="B13" s="1" t="s">
        <v>8</v>
      </c>
      <c r="C13" s="67">
        <f>IFERROR(Output!B107/Output!B101,"")</f>
        <v>0.2472333785617368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14750</v>
      </c>
    </row>
    <row r="17" spans="1:7">
      <c r="B17" s="1" t="s">
        <v>11</v>
      </c>
      <c r="C17" s="36">
        <f>SUM(Output!B6:M6)</f>
        <v>42747.26332592154</v>
      </c>
    </row>
    <row r="18" spans="1:7">
      <c r="B18" s="1" t="s">
        <v>12</v>
      </c>
      <c r="C18" s="36">
        <f>MIN(Output!B6:M6)</f>
        <v>-7000.953608498909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6226.297877365258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595500</v>
      </c>
    </row>
    <row r="25" spans="1:7">
      <c r="B25" s="1" t="s">
        <v>18</v>
      </c>
      <c r="C25" s="36">
        <f>MAX(Inputs!A56:A60)</f>
        <v>1041000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-7000.953608498909</v>
      </c>
      <c r="C6" s="51">
        <f>C30-C88</f>
        <v>-6366.83189362711</v>
      </c>
      <c r="D6" s="51">
        <f>D30-D88</f>
        <v>2107.557419349992</v>
      </c>
      <c r="E6" s="51">
        <f>E30-E88</f>
        <v>5845.824848442178</v>
      </c>
      <c r="F6" s="51">
        <f>F30-F88</f>
        <v>5592.176162493459</v>
      </c>
      <c r="G6" s="51">
        <f>G30-G88</f>
        <v>5845.824848442178</v>
      </c>
      <c r="H6" s="51">
        <f>H30-H88</f>
        <v>6099.473534390898</v>
      </c>
      <c r="I6" s="51">
        <f>I30-I88</f>
        <v>6226.297877365258</v>
      </c>
      <c r="J6" s="51">
        <f>J30-J88</f>
        <v>6226.297877365258</v>
      </c>
      <c r="K6" s="51">
        <f>K30-K88</f>
        <v>6226.297877365258</v>
      </c>
      <c r="L6" s="51">
        <f>L30-L88</f>
        <v>6099.473534390898</v>
      </c>
      <c r="M6" s="51">
        <f>M30-M88</f>
        <v>5845.824848442178</v>
      </c>
      <c r="N6" s="51">
        <f>N30-N88</f>
        <v>5592.176162493459</v>
      </c>
      <c r="O6" s="51">
        <f>O30-O88</f>
        <v>6226.297877365258</v>
      </c>
      <c r="P6" s="51">
        <f>P30-P88</f>
        <v>6226.297877365258</v>
      </c>
      <c r="Q6" s="51">
        <f>Q30-Q88</f>
        <v>5845.824848442178</v>
      </c>
      <c r="R6" s="51">
        <f>R30-R88</f>
        <v>5592.176162493459</v>
      </c>
      <c r="S6" s="51">
        <f>S30-S88</f>
        <v>5845.824848442178</v>
      </c>
      <c r="T6" s="51">
        <f>T30-T88</f>
        <v>6099.473534390898</v>
      </c>
      <c r="U6" s="51">
        <f>U30-U88</f>
        <v>6226.297877365258</v>
      </c>
      <c r="V6" s="51">
        <f>V30-V88</f>
        <v>6226.297877365258</v>
      </c>
      <c r="W6" s="51">
        <f>W30-W88</f>
        <v>6226.297877365258</v>
      </c>
      <c r="X6" s="51">
        <f>X30-X88</f>
        <v>6099.473534390898</v>
      </c>
      <c r="Y6" s="51">
        <f>Y30-Y88</f>
        <v>5845.824848442178</v>
      </c>
      <c r="Z6" s="51">
        <f>SUMIF($B$13:$Y$13,"Yes",B6:Y6)</f>
        <v>48339.439488415</v>
      </c>
      <c r="AA6" s="51">
        <f>AA30-AA88</f>
        <v>42747.26332592126</v>
      </c>
      <c r="AB6" s="51">
        <f>AB30-AB88</f>
        <v>114799.5266518437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26590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18090</v>
      </c>
      <c r="J7" s="80">
        <f>IF(ISERROR(VLOOKUP(MONTH(J5),Inputs!$D$66:$D$71,1,0)),"",INDEX(Inputs!$B$66:$B$71,MATCH(MONTH(Output!J5),Inputs!$D$66:$D$71,0))-INDEX(Inputs!$C$66:$C$71,MATCH(MONTH(Output!J5),Inputs!$D$66:$D$71,0)))</f>
        <v>18281</v>
      </c>
      <c r="K7" s="80">
        <f>IF(ISERROR(VLOOKUP(MONTH(K5),Inputs!$D$66:$D$71,1,0)),"",INDEX(Inputs!$B$66:$B$71,MATCH(MONTH(Output!K5),Inputs!$D$66:$D$71,0))-INDEX(Inputs!$C$66:$C$71,MATCH(MONTH(Output!K5),Inputs!$D$66:$D$71,0)))</f>
        <v>30021</v>
      </c>
      <c r="L7" s="80">
        <f>IF(ISERROR(VLOOKUP(MONTH(L5),Inputs!$D$66:$D$71,1,0)),"",INDEX(Inputs!$B$66:$B$71,MATCH(MONTH(Output!L5),Inputs!$D$66:$D$71,0))-INDEX(Inputs!$C$66:$C$71,MATCH(MONTH(Output!L5),Inputs!$D$66:$D$71,0)))</f>
        <v>21320</v>
      </c>
      <c r="M7" s="80">
        <f>IF(ISERROR(VLOOKUP(MONTH(M5),Inputs!$D$66:$D$71,1,0)),"",INDEX(Inputs!$B$66:$B$71,MATCH(MONTH(Output!M5),Inputs!$D$66:$D$71,0))-INDEX(Inputs!$C$66:$C$71,MATCH(MONTH(Output!M5),Inputs!$D$66:$D$71,0)))</f>
        <v>40784</v>
      </c>
      <c r="N7" s="80">
        <f>IF(ISERROR(VLOOKUP(MONTH(N5),Inputs!$D$66:$D$71,1,0)),"",INDEX(Inputs!$B$66:$B$71,MATCH(MONTH(Output!N5),Inputs!$D$66:$D$71,0))-INDEX(Inputs!$C$66:$C$71,MATCH(MONTH(Output!N5),Inputs!$D$66:$D$71,0)))</f>
        <v>26590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18090</v>
      </c>
      <c r="V7" s="80">
        <f>IF(ISERROR(VLOOKUP(MONTH(V5),Inputs!$D$66:$D$71,1,0)),"",INDEX(Inputs!$B$66:$B$71,MATCH(MONTH(Output!V5),Inputs!$D$66:$D$71,0))-INDEX(Inputs!$C$66:$C$71,MATCH(MONTH(Output!V5),Inputs!$D$66:$D$71,0)))</f>
        <v>18281</v>
      </c>
      <c r="W7" s="80">
        <f>IF(ISERROR(VLOOKUP(MONTH(W5),Inputs!$D$66:$D$71,1,0)),"",INDEX(Inputs!$B$66:$B$71,MATCH(MONTH(Output!W5),Inputs!$D$66:$D$71,0))-INDEX(Inputs!$C$66:$C$71,MATCH(MONTH(Output!W5),Inputs!$D$66:$D$71,0)))</f>
        <v>30021</v>
      </c>
      <c r="X7" s="80">
        <f>IF(ISERROR(VLOOKUP(MONTH(X5),Inputs!$D$66:$D$71,1,0)),"",INDEX(Inputs!$B$66:$B$71,MATCH(MONTH(Output!X5),Inputs!$D$66:$D$71,0))-INDEX(Inputs!$C$66:$C$71,MATCH(MONTH(Output!X5),Inputs!$D$66:$D$71,0)))</f>
        <v>21320</v>
      </c>
      <c r="Y7" s="80">
        <f>IF(ISERROR(VLOOKUP(MONTH(Y5),Inputs!$D$66:$D$71,1,0)),"",INDEX(Inputs!$B$66:$B$71,MATCH(MONTH(Output!Y5),Inputs!$D$66:$D$71,0))-INDEX(Inputs!$C$66:$C$71,MATCH(MONTH(Output!Y5),Inputs!$D$66:$D$71,0)))</f>
        <v>40784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14750</v>
      </c>
      <c r="D10" s="37">
        <f>SUMPRODUCT((Calculations!$D$33:$D$84=Output!D5)+0,Calculations!$C$33:$C$84)</f>
        <v>14750</v>
      </c>
      <c r="E10" s="37">
        <f>SUMPRODUCT((Calculations!$D$33:$D$84=Output!E5)+0,Calculations!$C$33:$C$84)</f>
        <v>14750</v>
      </c>
      <c r="F10" s="37">
        <f>SUMPRODUCT((Calculations!$D$33:$D$84=Output!F5)+0,Calculations!$C$33:$C$84)</f>
        <v>14750</v>
      </c>
      <c r="G10" s="37">
        <f>SUMPRODUCT((Calculations!$D$33:$D$84=Output!G5)+0,Calculations!$C$33:$C$84)</f>
        <v>14750</v>
      </c>
      <c r="H10" s="37">
        <f>SUMPRODUCT((Calculations!$D$33:$D$84=Output!H5)+0,Calculations!$C$33:$C$84)</f>
        <v>14750</v>
      </c>
      <c r="I10" s="37">
        <f>SUMPRODUCT((Calculations!$D$33:$D$84=Output!I5)+0,Calculations!$C$33:$C$84)</f>
        <v>14750</v>
      </c>
      <c r="J10" s="37">
        <f>SUMPRODUCT((Calculations!$D$33:$D$84=Output!J5)+0,Calculations!$C$33:$C$84)</f>
        <v>14750</v>
      </c>
      <c r="K10" s="37">
        <f>SUMPRODUCT((Calculations!$D$33:$D$84=Output!K5)+0,Calculations!$C$33:$C$84)</f>
        <v>14750</v>
      </c>
      <c r="L10" s="37">
        <f>SUMPRODUCT((Calculations!$D$33:$D$84=Output!L5)+0,Calculations!$C$33:$C$84)</f>
        <v>14750</v>
      </c>
      <c r="M10" s="37">
        <f>SUMPRODUCT((Calculations!$D$33:$D$84=Output!M5)+0,Calculations!$C$33:$C$84)</f>
        <v>14750</v>
      </c>
      <c r="N10" s="37">
        <f>SUMPRODUCT((Calculations!$D$33:$D$84=Output!N5)+0,Calculations!$C$33:$C$84)</f>
        <v>14750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162250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142999.0463915011</v>
      </c>
      <c r="C11" s="80">
        <f>C6+C9-C10</f>
        <v>-21116.83189362711</v>
      </c>
      <c r="D11" s="80">
        <f>D6+D9-D10</f>
        <v>-12642.44258065001</v>
      </c>
      <c r="E11" s="80">
        <f>E6+E9-E10</f>
        <v>-8904.175151557822</v>
      </c>
      <c r="F11" s="80">
        <f>F6+F9-F10</f>
        <v>-9157.823837506541</v>
      </c>
      <c r="G11" s="80">
        <f>G6+G9-G10</f>
        <v>-8904.175151557822</v>
      </c>
      <c r="H11" s="80">
        <f>H6+H9-H10</f>
        <v>-8650.526465609102</v>
      </c>
      <c r="I11" s="80">
        <f>I6+I9-I10</f>
        <v>-8523.702122634742</v>
      </c>
      <c r="J11" s="80">
        <f>J6+J9-J10</f>
        <v>-8523.702122634742</v>
      </c>
      <c r="K11" s="80">
        <f>K6+K9-K10</f>
        <v>-8523.702122634742</v>
      </c>
      <c r="L11" s="80">
        <f>L6+L9-L10</f>
        <v>-8650.526465609102</v>
      </c>
      <c r="M11" s="80">
        <f>M6+M9-M10</f>
        <v>-8904.175151557822</v>
      </c>
      <c r="N11" s="80">
        <f>N6+N9-N10</f>
        <v>-9157.823837506541</v>
      </c>
      <c r="O11" s="80">
        <f>O6+O9-O10</f>
        <v>6226.297877365258</v>
      </c>
      <c r="P11" s="80">
        <f>P6+P9-P10</f>
        <v>6226.297877365258</v>
      </c>
      <c r="Q11" s="80">
        <f>Q6+Q9-Q10</f>
        <v>5845.824848442178</v>
      </c>
      <c r="R11" s="80">
        <f>R6+R9-R10</f>
        <v>5592.176162493459</v>
      </c>
      <c r="S11" s="80">
        <f>S6+S9-S10</f>
        <v>5845.824848442178</v>
      </c>
      <c r="T11" s="80">
        <f>T6+T9-T10</f>
        <v>6099.473534390898</v>
      </c>
      <c r="U11" s="80">
        <f>U6+U9-U10</f>
        <v>6226.297877365258</v>
      </c>
      <c r="V11" s="80">
        <f>V6+V9-V10</f>
        <v>6226.297877365258</v>
      </c>
      <c r="W11" s="80">
        <f>W6+W9-W10</f>
        <v>6226.297877365258</v>
      </c>
      <c r="X11" s="80">
        <f>X6+X9-X10</f>
        <v>6099.473534390898</v>
      </c>
      <c r="Y11" s="80">
        <f>Y6+Y9-Y10</f>
        <v>5845.824848442178</v>
      </c>
      <c r="Z11" s="85">
        <f>SUMIF($B$13:$Y$13,"Yes",B11:Y11)</f>
        <v>21339.439488415</v>
      </c>
      <c r="AA11" s="80">
        <f>SUM(B11:M11)</f>
        <v>30497.26332592154</v>
      </c>
      <c r="AB11" s="46">
        <f>SUM(B11:Y11)</f>
        <v>87799.52665184307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0.1079540432994264</v>
      </c>
      <c r="D12" s="82">
        <f>IF(D13="Yes",IF(SUM($B$10:D10)/(SUM($B$6:D6)+SUM($B$9:D9))&lt;0,999.99,SUM($B$10:D10)/(SUM($B$6:D6)+SUM($B$9:D9))),"")</f>
        <v>0.2126282867006623</v>
      </c>
      <c r="E12" s="82">
        <f>IF(E13="Yes",IF(SUM($B$10:E10)/(SUM($B$6:E6)+SUM($B$9:E9))&lt;0,999.99,SUM($B$10:E10)/(SUM($B$6:E6)+SUM($B$9:E9))),"")</f>
        <v>0.3060470820735843</v>
      </c>
      <c r="F12" s="82">
        <f>IF(F13="Yes",IF(SUM($B$10:F10)/(SUM($B$6:F6)+SUM($B$9:F9))&lt;0,999.99,SUM($B$10:F10)/(SUM($B$6:F6)+SUM($B$9:F9))),"")</f>
        <v>0.3928677250276162</v>
      </c>
      <c r="G12" s="82">
        <f>IF(G13="Yes",IF(SUM($B$10:G10)/(SUM($B$6:G6)+SUM($B$9:G9))&lt;0,999.99,SUM($B$10:G10)/(SUM($B$6:G6)+SUM($B$9:G9))),"")</f>
        <v>0.4726849082508465</v>
      </c>
      <c r="H12" s="82">
        <f>IF(H13="Yes",IF(SUM($B$10:H10)/(SUM($B$6:H6)+SUM($B$9:H9))&lt;0,999.99,SUM($B$10:H10)/(SUM($B$6:H6)+SUM($B$9:H9))),"")</f>
        <v>0.5458815903520283</v>
      </c>
      <c r="I12" s="82">
        <f>IF(I13="Yes",IF(SUM($B$10:I10)/(SUM($B$6:I6)+SUM($B$9:I9))&lt;0,999.99,SUM($B$10:I10)/(SUM($B$6:I6)+SUM($B$9:I9))),"")</f>
        <v>0.6133079113856291</v>
      </c>
      <c r="J12" s="82">
        <f>IF(J13="Yes",IF(SUM($B$10:J10)/(SUM($B$6:J6)+SUM($B$9:J9))&lt;0,999.99,SUM($B$10:J10)/(SUM($B$6:J6)+SUM($B$9:J9))),"")</f>
        <v>0.6759246691325891</v>
      </c>
      <c r="K12" s="82">
        <f>IF(K13="Yes",IF(SUM($B$10:K10)/(SUM($B$6:K6)+SUM($B$9:K9))&lt;0,999.99,SUM($B$10:K10)/(SUM($B$6:K6)+SUM($B$9:K9))),"")</f>
        <v>0.7342287460304211</v>
      </c>
      <c r="L12" s="82">
        <f>IF(L13="Yes",IF(SUM($B$10:L10)/(SUM($B$6:L6)+SUM($B$9:L9))&lt;0,999.99,SUM($B$10:L10)/(SUM($B$6:L6)+SUM($B$9:L9))),"")</f>
        <v>0.7891860073499273</v>
      </c>
      <c r="M12" s="82">
        <f>IF(M13="Yes",IF(SUM($B$10:M10)/(SUM($B$6:M6)+SUM($B$9:M9))&lt;0,999.99,SUM($B$10:M10)/(SUM($B$6:M6)+SUM($B$9:M9))),"")</f>
        <v>0.8417758945072392</v>
      </c>
      <c r="N12" s="82">
        <f>IF(N13="Yes",IF(SUM($B$10:N10)/(SUM($B$6:N6)+SUM($B$9:N9))&lt;0,999.99,SUM($B$10:N10)/(SUM($B$6:N6)+SUM($B$9:N9))),"")</f>
        <v>0.8924094998783062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23134.174</v>
      </c>
      <c r="C18" s="36">
        <f>O18</f>
        <v>23134.174</v>
      </c>
      <c r="D18" s="36">
        <f>P18</f>
        <v>23134.174</v>
      </c>
      <c r="E18" s="36">
        <f>Q18</f>
        <v>23134.174</v>
      </c>
      <c r="F18" s="36">
        <f>R18</f>
        <v>23134.174</v>
      </c>
      <c r="G18" s="36">
        <f>S18</f>
        <v>23134.174</v>
      </c>
      <c r="H18" s="36">
        <f>T18</f>
        <v>23134.174</v>
      </c>
      <c r="I18" s="36">
        <f>U18</f>
        <v>23134.174</v>
      </c>
      <c r="J18" s="36">
        <f>V18</f>
        <v>23134.174</v>
      </c>
      <c r="K18" s="36">
        <f>W18</f>
        <v>23134.174</v>
      </c>
      <c r="L18" s="36">
        <f>X18</f>
        <v>23134.174</v>
      </c>
      <c r="M18" s="36">
        <f>Y18</f>
        <v>23134.174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23134.174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23134.174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23134.174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23134.174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23134.174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23134.174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23134.174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23134.174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23134.174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23134.174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23134.174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23134.174</v>
      </c>
      <c r="Z18" s="36">
        <f>SUMIF($B$13:$Y$13,"Yes",B18:Y18)</f>
        <v>300744.262</v>
      </c>
      <c r="AA18" s="36">
        <f>SUM(B18:M18)</f>
        <v>277610.088</v>
      </c>
      <c r="AB18" s="36">
        <f>SUM(B18:Y18)</f>
        <v>555220.176</v>
      </c>
      <c r="AC18" s="43"/>
      <c r="AD18" s="43"/>
    </row>
    <row r="19" spans="1:30">
      <c r="A19" t="str">
        <f>IF(Calculations!A5&lt;&gt;Parameters!$A$18,IF(Calculations!A5=0,"",Calculations!A5),Inputs!B8)</f>
        <v>Coffee</v>
      </c>
      <c r="B19" s="36">
        <f>N19</f>
        <v>0</v>
      </c>
      <c r="C19" s="36">
        <f>O19</f>
        <v>634.1217148717949</v>
      </c>
      <c r="D19" s="36">
        <f>P19</f>
        <v>634.1217148717949</v>
      </c>
      <c r="E19" s="36">
        <f>Q19</f>
        <v>253.6486859487179</v>
      </c>
      <c r="F19" s="36">
        <f>R19</f>
        <v>0</v>
      </c>
      <c r="G19" s="36">
        <f>S19</f>
        <v>253.6486859487179</v>
      </c>
      <c r="H19" s="36">
        <f>T19</f>
        <v>507.2973718974358</v>
      </c>
      <c r="I19" s="36">
        <f>U19</f>
        <v>634.1217148717949</v>
      </c>
      <c r="J19" s="36">
        <f>V19</f>
        <v>634.1217148717949</v>
      </c>
      <c r="K19" s="36">
        <f>W19</f>
        <v>634.1217148717949</v>
      </c>
      <c r="L19" s="36">
        <f>X19</f>
        <v>507.2973718974358</v>
      </c>
      <c r="M19" s="36">
        <f>Y19</f>
        <v>253.6486859487179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634.1217148717949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634.1217148717949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253.6486859487179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253.6486859487179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507.2973718974358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634.1217148717949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634.1217148717949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634.1217148717949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507.2973718974358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253.6486859487179</v>
      </c>
      <c r="Z19" s="36">
        <f>SUMIF($B$13:$Y$13,"Yes",B19:Y19)</f>
        <v>4946.149375999999</v>
      </c>
      <c r="AA19" s="36">
        <f>SUM(B19:M19)</f>
        <v>4946.149375999999</v>
      </c>
      <c r="AB19" s="36">
        <f>SUM(B19:Y19)</f>
        <v>9892.298751999999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19800</v>
      </c>
      <c r="C25" s="36">
        <f>IFERROR(Calculations!$P15/12,"")</f>
        <v>19800</v>
      </c>
      <c r="D25" s="36">
        <f>IFERROR(Calculations!$P15/12,"")</f>
        <v>19800</v>
      </c>
      <c r="E25" s="36">
        <f>IFERROR(Calculations!$P15/12,"")</f>
        <v>19800</v>
      </c>
      <c r="F25" s="36">
        <f>IFERROR(Calculations!$P15/12,"")</f>
        <v>19800</v>
      </c>
      <c r="G25" s="36">
        <f>IFERROR(Calculations!$P15/12,"")</f>
        <v>19800</v>
      </c>
      <c r="H25" s="36">
        <f>IFERROR(Calculations!$P15/12,"")</f>
        <v>19800</v>
      </c>
      <c r="I25" s="36">
        <f>IFERROR(Calculations!$P15/12,"")</f>
        <v>19800</v>
      </c>
      <c r="J25" s="36">
        <f>IFERROR(Calculations!$P15/12,"")</f>
        <v>19800</v>
      </c>
      <c r="K25" s="36">
        <f>IFERROR(Calculations!$P15/12,"")</f>
        <v>19800</v>
      </c>
      <c r="L25" s="36">
        <f>IFERROR(Calculations!$P15/12,"")</f>
        <v>19800</v>
      </c>
      <c r="M25" s="36">
        <f>IFERROR(Calculations!$P15/12,"")</f>
        <v>19800</v>
      </c>
      <c r="N25" s="36">
        <f>IFERROR(Calculations!$P15/12,"")</f>
        <v>19800</v>
      </c>
      <c r="O25" s="36">
        <f>IFERROR(Calculations!$P15/12,"")</f>
        <v>19800</v>
      </c>
      <c r="P25" s="36">
        <f>IFERROR(Calculations!$P15/12,"")</f>
        <v>19800</v>
      </c>
      <c r="Q25" s="36">
        <f>IFERROR(Calculations!$P15/12,"")</f>
        <v>19800</v>
      </c>
      <c r="R25" s="36">
        <f>IFERROR(Calculations!$P15/12,"")</f>
        <v>19800</v>
      </c>
      <c r="S25" s="36">
        <f>IFERROR(Calculations!$P15/12,"")</f>
        <v>19800</v>
      </c>
      <c r="T25" s="36">
        <f>IFERROR(Calculations!$P15/12,"")</f>
        <v>19800</v>
      </c>
      <c r="U25" s="36">
        <f>IFERROR(Calculations!$P15/12,"")</f>
        <v>19800</v>
      </c>
      <c r="V25" s="36">
        <f>IFERROR(Calculations!$P15/12,"")</f>
        <v>19800</v>
      </c>
      <c r="W25" s="36">
        <f>IFERROR(Calculations!$P15/12,"")</f>
        <v>19800</v>
      </c>
      <c r="X25" s="36">
        <f>IFERROR(Calculations!$P15/12,"")</f>
        <v>19800</v>
      </c>
      <c r="Y25" s="36">
        <f>IFERROR(Calculations!$P15/12,"")</f>
        <v>19800</v>
      </c>
      <c r="Z25" s="36">
        <f>SUMIF($B$13:$Y$13,"Yes",B25:Y25)</f>
        <v>257400</v>
      </c>
      <c r="AA25" s="36">
        <f>SUM(B25:M25)</f>
        <v>237600</v>
      </c>
      <c r="AB25" s="46">
        <f>SUM(B25:Y25)</f>
        <v>475200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72934.174</v>
      </c>
      <c r="C30" s="19">
        <f>SUM(C18:C29)</f>
        <v>73568.2957148718</v>
      </c>
      <c r="D30" s="19">
        <f>SUM(D18:D29)</f>
        <v>73568.2957148718</v>
      </c>
      <c r="E30" s="19">
        <f>SUM(E18:E29)</f>
        <v>73187.82268594872</v>
      </c>
      <c r="F30" s="19">
        <f>SUM(F18:F29)</f>
        <v>72934.174</v>
      </c>
      <c r="G30" s="19">
        <f>SUM(G18:G29)</f>
        <v>73187.82268594872</v>
      </c>
      <c r="H30" s="19">
        <f>SUM(H18:H29)</f>
        <v>73441.47137189744</v>
      </c>
      <c r="I30" s="19">
        <f>SUM(I18:I29)</f>
        <v>73568.2957148718</v>
      </c>
      <c r="J30" s="19">
        <f>SUM(J18:J29)</f>
        <v>73568.2957148718</v>
      </c>
      <c r="K30" s="19">
        <f>SUM(K18:K29)</f>
        <v>73568.2957148718</v>
      </c>
      <c r="L30" s="19">
        <f>SUM(L18:L29)</f>
        <v>73441.47137189744</v>
      </c>
      <c r="M30" s="19">
        <f>SUM(M18:M29)</f>
        <v>73187.82268594872</v>
      </c>
      <c r="N30" s="19">
        <f>SUM(N18:N29)</f>
        <v>72934.174</v>
      </c>
      <c r="O30" s="19">
        <f>SUM(O18:O29)</f>
        <v>73568.2957148718</v>
      </c>
      <c r="P30" s="19">
        <f>SUM(P18:P29)</f>
        <v>73568.2957148718</v>
      </c>
      <c r="Q30" s="19">
        <f>SUM(Q18:Q29)</f>
        <v>73187.82268594872</v>
      </c>
      <c r="R30" s="19">
        <f>SUM(R18:R29)</f>
        <v>72934.174</v>
      </c>
      <c r="S30" s="19">
        <f>SUM(S18:S29)</f>
        <v>73187.82268594872</v>
      </c>
      <c r="T30" s="19">
        <f>SUM(T18:T29)</f>
        <v>73441.47137189744</v>
      </c>
      <c r="U30" s="19">
        <f>SUM(U18:U29)</f>
        <v>73568.2957148718</v>
      </c>
      <c r="V30" s="19">
        <f>SUM(V18:V29)</f>
        <v>73568.2957148718</v>
      </c>
      <c r="W30" s="19">
        <f>SUM(W18:W29)</f>
        <v>73568.2957148718</v>
      </c>
      <c r="X30" s="19">
        <f>SUM(X18:X29)</f>
        <v>73441.47137189744</v>
      </c>
      <c r="Y30" s="19">
        <f>SUM(Y18:Y29)</f>
        <v>73187.82268594872</v>
      </c>
      <c r="Z30" s="19">
        <f>SUMIF($B$13:$Y$13,"Yes",B30:Y30)</f>
        <v>953090.4113759999</v>
      </c>
      <c r="AA30" s="19">
        <f>SUM(B30:M30)</f>
        <v>880156.2373759999</v>
      </c>
      <c r="AB30" s="19">
        <f>SUM(B30:Y30)</f>
        <v>1760312.474752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500</v>
      </c>
      <c r="C36" s="36">
        <f>O36</f>
        <v>500</v>
      </c>
      <c r="D36" s="36">
        <f>P36</f>
        <v>500</v>
      </c>
      <c r="E36" s="36">
        <f>Q36</f>
        <v>500</v>
      </c>
      <c r="F36" s="36">
        <f>R36</f>
        <v>500</v>
      </c>
      <c r="G36" s="36">
        <f>S36</f>
        <v>500</v>
      </c>
      <c r="H36" s="36">
        <f>T36</f>
        <v>500</v>
      </c>
      <c r="I36" s="36">
        <f>U36</f>
        <v>500</v>
      </c>
      <c r="J36" s="36">
        <f>V36</f>
        <v>500</v>
      </c>
      <c r="K36" s="36">
        <f>W36</f>
        <v>500</v>
      </c>
      <c r="L36" s="36">
        <f>X36</f>
        <v>500</v>
      </c>
      <c r="M36" s="36">
        <f>Y36</f>
        <v>500</v>
      </c>
      <c r="N36" s="36">
        <f>SUM(N37:N41)</f>
        <v>500</v>
      </c>
      <c r="O36" s="36">
        <f>SUM(O37:O41)</f>
        <v>500</v>
      </c>
      <c r="P36" s="36">
        <f>SUM(P37:P41)</f>
        <v>500</v>
      </c>
      <c r="Q36" s="36">
        <f>SUM(Q37:Q41)</f>
        <v>500</v>
      </c>
      <c r="R36" s="36">
        <f>SUM(R37:R41)</f>
        <v>500</v>
      </c>
      <c r="S36" s="36">
        <f>SUM(S37:S41)</f>
        <v>500</v>
      </c>
      <c r="T36" s="36">
        <f>SUM(T37:T41)</f>
        <v>500</v>
      </c>
      <c r="U36" s="36">
        <f>SUM(U37:U41)</f>
        <v>500</v>
      </c>
      <c r="V36" s="36">
        <f>SUM(V37:V41)</f>
        <v>500</v>
      </c>
      <c r="W36" s="36">
        <f>SUM(W37:W41)</f>
        <v>500</v>
      </c>
      <c r="X36" s="36">
        <f>SUM(X37:X41)</f>
        <v>500</v>
      </c>
      <c r="Y36" s="36">
        <f>SUM(Y37:Y41)</f>
        <v>500</v>
      </c>
      <c r="Z36" s="36">
        <f>SUMIF($B$13:$Y$13,"Yes",B36:Y36)</f>
        <v>6500</v>
      </c>
      <c r="AA36" s="36">
        <f>SUM(B36:M36)</f>
        <v>6000</v>
      </c>
      <c r="AB36" s="36">
        <f>SUM(B36:Y36)</f>
        <v>12000</v>
      </c>
      <c r="AC36" s="73"/>
    </row>
    <row r="37" spans="1:30" hidden="true" outlineLevel="1">
      <c r="A37" s="181" t="str">
        <f>Calculations!$A$4</f>
        <v>Bananas</v>
      </c>
      <c r="B37" s="36">
        <f>N37</f>
        <v>333.3333333333333</v>
      </c>
      <c r="C37" s="36">
        <f>O37</f>
        <v>333.3333333333333</v>
      </c>
      <c r="D37" s="36">
        <f>P37</f>
        <v>333.3333333333333</v>
      </c>
      <c r="E37" s="36">
        <f>Q37</f>
        <v>333.3333333333333</v>
      </c>
      <c r="F37" s="36">
        <f>R37</f>
        <v>333.3333333333333</v>
      </c>
      <c r="G37" s="36">
        <f>S37</f>
        <v>333.3333333333333</v>
      </c>
      <c r="H37" s="36">
        <f>T37</f>
        <v>333.3333333333333</v>
      </c>
      <c r="I37" s="36">
        <f>U37</f>
        <v>333.3333333333333</v>
      </c>
      <c r="J37" s="36">
        <f>V37</f>
        <v>333.3333333333333</v>
      </c>
      <c r="K37" s="36">
        <f>W37</f>
        <v>333.3333333333333</v>
      </c>
      <c r="L37" s="36">
        <f>X37</f>
        <v>333.3333333333333</v>
      </c>
      <c r="M37" s="36">
        <f>Y37</f>
        <v>333.3333333333333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333.3333333333333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333.3333333333333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333.3333333333333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333.3333333333333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333.3333333333333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333.3333333333333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333.3333333333333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333.3333333333333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333.3333333333333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333.3333333333333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333.3333333333333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333.3333333333333</v>
      </c>
      <c r="Z37" s="36">
        <f>SUMIF($B$13:$Y$13,"Yes",B37:Y37)</f>
        <v>4333.333333333334</v>
      </c>
      <c r="AA37" s="36">
        <f>SUM(B37:M37)</f>
        <v>4000</v>
      </c>
      <c r="AB37" s="36">
        <f>SUM(B37:Y37)</f>
        <v>7999.999999999997</v>
      </c>
      <c r="AC37" s="73"/>
    </row>
    <row r="38" spans="1:30" hidden="true" outlineLevel="1">
      <c r="A38" s="181" t="str">
        <f>Calculations!$A$5</f>
        <v>Coffee</v>
      </c>
      <c r="B38" s="36">
        <f>N38</f>
        <v>166.6666666666667</v>
      </c>
      <c r="C38" s="36">
        <f>O38</f>
        <v>166.6666666666667</v>
      </c>
      <c r="D38" s="36">
        <f>P38</f>
        <v>166.6666666666667</v>
      </c>
      <c r="E38" s="36">
        <f>Q38</f>
        <v>166.6666666666667</v>
      </c>
      <c r="F38" s="36">
        <f>R38</f>
        <v>166.6666666666667</v>
      </c>
      <c r="G38" s="36">
        <f>S38</f>
        <v>166.6666666666667</v>
      </c>
      <c r="H38" s="36">
        <f>T38</f>
        <v>166.6666666666667</v>
      </c>
      <c r="I38" s="36">
        <f>U38</f>
        <v>166.6666666666667</v>
      </c>
      <c r="J38" s="36">
        <f>V38</f>
        <v>166.6666666666667</v>
      </c>
      <c r="K38" s="36">
        <f>W38</f>
        <v>166.6666666666667</v>
      </c>
      <c r="L38" s="36">
        <f>X38</f>
        <v>166.6666666666667</v>
      </c>
      <c r="M38" s="36">
        <f>Y38</f>
        <v>166.6666666666667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166.6666666666667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166.6666666666667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166.6666666666667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166.6666666666667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166.6666666666667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166.6666666666667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166.6666666666667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166.6666666666667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166.6666666666667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166.6666666666667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166.6666666666667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166.6666666666667</v>
      </c>
      <c r="Z38" s="36">
        <f>SUMIF($B$13:$Y$13,"Yes",B38:Y38)</f>
        <v>2166.666666666667</v>
      </c>
      <c r="AA38" s="36">
        <f>SUM(B38:M38)</f>
        <v>2000</v>
      </c>
      <c r="AB38" s="36">
        <f>SUM(B38:Y38)</f>
        <v>3999.999999999999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Coffee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Coffee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Coffee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Coffee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3375</v>
      </c>
      <c r="C66" s="36">
        <f>O66</f>
        <v>3375</v>
      </c>
      <c r="D66" s="36">
        <f>P66</f>
        <v>3375</v>
      </c>
      <c r="E66" s="36">
        <f>Q66</f>
        <v>3375</v>
      </c>
      <c r="F66" s="36">
        <f>R66</f>
        <v>3375</v>
      </c>
      <c r="G66" s="36">
        <f>S66</f>
        <v>3375</v>
      </c>
      <c r="H66" s="36">
        <f>T66</f>
        <v>3375</v>
      </c>
      <c r="I66" s="36">
        <f>U66</f>
        <v>3375</v>
      </c>
      <c r="J66" s="36">
        <f>V66</f>
        <v>3375</v>
      </c>
      <c r="K66" s="36">
        <f>W66</f>
        <v>3375</v>
      </c>
      <c r="L66" s="36">
        <f>X66</f>
        <v>3375</v>
      </c>
      <c r="M66" s="36">
        <f>Y66</f>
        <v>3375</v>
      </c>
      <c r="N66" s="46">
        <f>SUM(N67:N71)</f>
        <v>3375</v>
      </c>
      <c r="O66" s="46">
        <f>SUM(O67:O71)</f>
        <v>3375</v>
      </c>
      <c r="P66" s="46">
        <f>SUM(P67:P71)</f>
        <v>3375</v>
      </c>
      <c r="Q66" s="46">
        <f>SUM(Q67:Q71)</f>
        <v>3375</v>
      </c>
      <c r="R66" s="46">
        <f>SUM(R67:R71)</f>
        <v>3375</v>
      </c>
      <c r="S66" s="46">
        <f>SUM(S67:S71)</f>
        <v>3375</v>
      </c>
      <c r="T66" s="46">
        <f>SUM(T67:T71)</f>
        <v>3375</v>
      </c>
      <c r="U66" s="46">
        <f>SUM(U67:U71)</f>
        <v>3375</v>
      </c>
      <c r="V66" s="46">
        <f>SUM(V67:V71)</f>
        <v>3375</v>
      </c>
      <c r="W66" s="46">
        <f>SUM(W67:W71)</f>
        <v>3375</v>
      </c>
      <c r="X66" s="46">
        <f>SUM(X67:X71)</f>
        <v>3375</v>
      </c>
      <c r="Y66" s="46">
        <f>SUM(Y67:Y71)</f>
        <v>3375</v>
      </c>
      <c r="Z66" s="46">
        <f>SUMIF($B$13:$Y$13,"Yes",B66:Y66)</f>
        <v>43875</v>
      </c>
      <c r="AA66" s="46">
        <f>SUM(B66:M66)</f>
        <v>40500</v>
      </c>
      <c r="AB66" s="46">
        <f>SUM(B66:Y66)</f>
        <v>81000</v>
      </c>
    </row>
    <row r="67" spans="1:30" hidden="true" outlineLevel="1">
      <c r="A67" s="181" t="str">
        <f>Calculations!$A$4</f>
        <v>Bananas</v>
      </c>
      <c r="B67" s="36">
        <f>N67</f>
        <v>1687.5</v>
      </c>
      <c r="C67" s="36">
        <f>O67</f>
        <v>1687.5</v>
      </c>
      <c r="D67" s="36">
        <f>P67</f>
        <v>1687.5</v>
      </c>
      <c r="E67" s="36">
        <f>Q67</f>
        <v>1687.5</v>
      </c>
      <c r="F67" s="36">
        <f>R67</f>
        <v>1687.5</v>
      </c>
      <c r="G67" s="36">
        <f>S67</f>
        <v>1687.5</v>
      </c>
      <c r="H67" s="36">
        <f>T67</f>
        <v>1687.5</v>
      </c>
      <c r="I67" s="36">
        <f>U67</f>
        <v>1687.5</v>
      </c>
      <c r="J67" s="36">
        <f>V67</f>
        <v>1687.5</v>
      </c>
      <c r="K67" s="36">
        <f>W67</f>
        <v>1687.5</v>
      </c>
      <c r="L67" s="36">
        <f>X67</f>
        <v>1687.5</v>
      </c>
      <c r="M67" s="36">
        <f>Y67</f>
        <v>1687.5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1687.5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1687.5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1687.5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1687.5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1687.5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1687.5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1687.5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1687.5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1687.5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1687.5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1687.5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1687.5</v>
      </c>
      <c r="Z67" s="46">
        <f>SUMIF($B$13:$Y$13,"Yes",B67:Y67)</f>
        <v>21937.5</v>
      </c>
      <c r="AA67" s="46">
        <f>SUM(B67:M67)</f>
        <v>20250</v>
      </c>
      <c r="AB67" s="46">
        <f>SUM(B67:Y67)</f>
        <v>40500</v>
      </c>
    </row>
    <row r="68" spans="1:30" hidden="true" outlineLevel="1">
      <c r="A68" s="181" t="str">
        <f>Calculations!$A$5</f>
        <v>Coffee</v>
      </c>
      <c r="B68" s="36">
        <f>N68</f>
        <v>1687.5</v>
      </c>
      <c r="C68" s="36">
        <f>O68</f>
        <v>1687.5</v>
      </c>
      <c r="D68" s="36">
        <f>P68</f>
        <v>1687.5</v>
      </c>
      <c r="E68" s="36">
        <f>Q68</f>
        <v>1687.5</v>
      </c>
      <c r="F68" s="36">
        <f>R68</f>
        <v>1687.5</v>
      </c>
      <c r="G68" s="36">
        <f>S68</f>
        <v>1687.5</v>
      </c>
      <c r="H68" s="36">
        <f>T68</f>
        <v>1687.5</v>
      </c>
      <c r="I68" s="36">
        <f>U68</f>
        <v>1687.5</v>
      </c>
      <c r="J68" s="36">
        <f>V68</f>
        <v>1687.5</v>
      </c>
      <c r="K68" s="36">
        <f>W68</f>
        <v>1687.5</v>
      </c>
      <c r="L68" s="36">
        <f>X68</f>
        <v>1687.5</v>
      </c>
      <c r="M68" s="36">
        <f>Y68</f>
        <v>1687.5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1687.5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1687.5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1687.5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1687.5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1687.5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1687.5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1687.5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1687.5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1687.5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1687.5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1687.5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1687.5</v>
      </c>
      <c r="Z68" s="46">
        <f>SUMIF($B$13:$Y$13,"Yes",B68:Y68)</f>
        <v>21937.5</v>
      </c>
      <c r="AA68" s="46">
        <f>SUM(B68:M68)</f>
        <v>20250</v>
      </c>
      <c r="AB68" s="46">
        <f>SUM(B68:Y68)</f>
        <v>40500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4258.333333333333</v>
      </c>
      <c r="C74" s="46">
        <f>SUM(Calculations!$Q$14:$Q$16)/12</f>
        <v>4258.333333333333</v>
      </c>
      <c r="D74" s="46">
        <f>SUM(Calculations!$Q$14:$Q$16)/12</f>
        <v>4258.333333333333</v>
      </c>
      <c r="E74" s="46">
        <f>SUM(Calculations!$Q$14:$Q$16)/12</f>
        <v>4258.333333333333</v>
      </c>
      <c r="F74" s="46">
        <f>SUM(Calculations!$Q$14:$Q$16)/12</f>
        <v>4258.333333333333</v>
      </c>
      <c r="G74" s="46">
        <f>SUM(Calculations!$Q$14:$Q$16)/12</f>
        <v>4258.333333333333</v>
      </c>
      <c r="H74" s="46">
        <f>SUM(Calculations!$Q$14:$Q$16)/12</f>
        <v>4258.333333333333</v>
      </c>
      <c r="I74" s="46">
        <f>SUM(Calculations!$Q$14:$Q$16)/12</f>
        <v>4258.333333333333</v>
      </c>
      <c r="J74" s="46">
        <f>SUM(Calculations!$Q$14:$Q$16)/12</f>
        <v>4258.333333333333</v>
      </c>
      <c r="K74" s="46">
        <f>SUM(Calculations!$Q$14:$Q$16)/12</f>
        <v>4258.333333333333</v>
      </c>
      <c r="L74" s="46">
        <f>SUM(Calculations!$Q$14:$Q$16)/12</f>
        <v>4258.333333333333</v>
      </c>
      <c r="M74" s="46">
        <f>SUM(Calculations!$Q$14:$Q$16)/12</f>
        <v>4258.333333333333</v>
      </c>
      <c r="N74" s="46">
        <f>SUM(Calculations!$Q$14:$Q$16)/12</f>
        <v>4258.333333333333</v>
      </c>
      <c r="O74" s="46">
        <f>SUM(Calculations!$Q$14:$Q$16)/12</f>
        <v>4258.333333333333</v>
      </c>
      <c r="P74" s="46">
        <f>SUM(Calculations!$Q$14:$Q$16)/12</f>
        <v>4258.333333333333</v>
      </c>
      <c r="Q74" s="46">
        <f>SUM(Calculations!$Q$14:$Q$16)/12</f>
        <v>4258.333333333333</v>
      </c>
      <c r="R74" s="46">
        <f>SUM(Calculations!$Q$14:$Q$16)/12</f>
        <v>4258.333333333333</v>
      </c>
      <c r="S74" s="46">
        <f>SUM(Calculations!$Q$14:$Q$16)/12</f>
        <v>4258.333333333333</v>
      </c>
      <c r="T74" s="46">
        <f>SUM(Calculations!$Q$14:$Q$16)/12</f>
        <v>4258.333333333333</v>
      </c>
      <c r="U74" s="46">
        <f>SUM(Calculations!$Q$14:$Q$16)/12</f>
        <v>4258.333333333333</v>
      </c>
      <c r="V74" s="46">
        <f>SUM(Calculations!$Q$14:$Q$16)/12</f>
        <v>4258.333333333333</v>
      </c>
      <c r="W74" s="46">
        <f>SUM(Calculations!$Q$14:$Q$16)/12</f>
        <v>4258.333333333333</v>
      </c>
      <c r="X74" s="46">
        <f>SUM(Calculations!$Q$14:$Q$16)/12</f>
        <v>4258.333333333333</v>
      </c>
      <c r="Y74" s="46">
        <f>SUM(Calculations!$Q$14:$Q$16)/12</f>
        <v>4258.333333333333</v>
      </c>
      <c r="Z74" s="46">
        <f>SUMIF($B$13:$Y$13,"Yes",B74:Y74)</f>
        <v>55358.33333333334</v>
      </c>
      <c r="AA74" s="46">
        <f>SUM(B74:M74)</f>
        <v>51100.00000000001</v>
      </c>
      <c r="AB74" s="46">
        <f>SUM(B74:Y74)</f>
        <v>102200</v>
      </c>
    </row>
    <row r="75" spans="1:30">
      <c r="A75" s="16" t="s">
        <v>47</v>
      </c>
      <c r="B75" s="46">
        <f>SUM(Calculations!$R$14:$R$16)/12</f>
        <v>266.6666666666667</v>
      </c>
      <c r="C75" s="46">
        <f>SUM(Calculations!$R$14:$R$16)/12</f>
        <v>266.6666666666667</v>
      </c>
      <c r="D75" s="46">
        <f>SUM(Calculations!$R$14:$R$16)/12</f>
        <v>266.6666666666667</v>
      </c>
      <c r="E75" s="46">
        <f>SUM(Calculations!$R$14:$R$16)/12</f>
        <v>266.6666666666667</v>
      </c>
      <c r="F75" s="46">
        <f>SUM(Calculations!$R$14:$R$16)/12</f>
        <v>266.6666666666667</v>
      </c>
      <c r="G75" s="46">
        <f>SUM(Calculations!$R$14:$R$16)/12</f>
        <v>266.6666666666667</v>
      </c>
      <c r="H75" s="46">
        <f>SUM(Calculations!$R$14:$R$16)/12</f>
        <v>266.6666666666667</v>
      </c>
      <c r="I75" s="46">
        <f>SUM(Calculations!$R$14:$R$16)/12</f>
        <v>266.6666666666667</v>
      </c>
      <c r="J75" s="46">
        <f>SUM(Calculations!$R$14:$R$16)/12</f>
        <v>266.6666666666667</v>
      </c>
      <c r="K75" s="46">
        <f>SUM(Calculations!$R$14:$R$16)/12</f>
        <v>266.6666666666667</v>
      </c>
      <c r="L75" s="46">
        <f>SUM(Calculations!$R$14:$R$16)/12</f>
        <v>266.6666666666667</v>
      </c>
      <c r="M75" s="46">
        <f>SUM(Calculations!$R$14:$R$16)/12</f>
        <v>266.6666666666667</v>
      </c>
      <c r="N75" s="46">
        <f>SUM(Calculations!$R$14:$R$16)/12</f>
        <v>266.6666666666667</v>
      </c>
      <c r="O75" s="46">
        <f>SUM(Calculations!$R$14:$R$16)/12</f>
        <v>266.6666666666667</v>
      </c>
      <c r="P75" s="46">
        <f>SUM(Calculations!$R$14:$R$16)/12</f>
        <v>266.6666666666667</v>
      </c>
      <c r="Q75" s="46">
        <f>SUM(Calculations!$R$14:$R$16)/12</f>
        <v>266.6666666666667</v>
      </c>
      <c r="R75" s="46">
        <f>SUM(Calculations!$R$14:$R$16)/12</f>
        <v>266.6666666666667</v>
      </c>
      <c r="S75" s="46">
        <f>SUM(Calculations!$R$14:$R$16)/12</f>
        <v>266.6666666666667</v>
      </c>
      <c r="T75" s="46">
        <f>SUM(Calculations!$R$14:$R$16)/12</f>
        <v>266.6666666666667</v>
      </c>
      <c r="U75" s="46">
        <f>SUM(Calculations!$R$14:$R$16)/12</f>
        <v>266.6666666666667</v>
      </c>
      <c r="V75" s="46">
        <f>SUM(Calculations!$R$14:$R$16)/12</f>
        <v>266.6666666666667</v>
      </c>
      <c r="W75" s="46">
        <f>SUM(Calculations!$R$14:$R$16)/12</f>
        <v>266.6666666666667</v>
      </c>
      <c r="X75" s="46">
        <f>SUM(Calculations!$R$14:$R$16)/12</f>
        <v>266.6666666666667</v>
      </c>
      <c r="Y75" s="46">
        <f>SUM(Calculations!$R$14:$R$16)/12</f>
        <v>266.6666666666667</v>
      </c>
      <c r="Z75" s="46">
        <f>SUMIF($B$13:$Y$13,"Yes",B75:Y75)</f>
        <v>3466.666666666666</v>
      </c>
      <c r="AA75" s="46">
        <f>SUM(B75:M75)</f>
        <v>3200</v>
      </c>
      <c r="AB75" s="46">
        <f>SUM(B75:Y75)</f>
        <v>6400.000000000002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26000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23178.54124586667</v>
      </c>
      <c r="C81" s="46">
        <f>(SUM($AA$18:$AA$29)-SUM($AA$36,$AA$42,$AA$48,$AA$54,$AA$60,$AA$66,$AA$72:$AA$79))*Parameters!$B$37/12</f>
        <v>23178.54124586667</v>
      </c>
      <c r="D81" s="46">
        <f>(SUM($AA$18:$AA$29)-SUM($AA$36,$AA$42,$AA$48,$AA$54,$AA$60,$AA$66,$AA$72:$AA$79))*Parameters!$B$37/12</f>
        <v>23178.54124586667</v>
      </c>
      <c r="E81" s="46">
        <f>(SUM($AA$18:$AA$29)-SUM($AA$36,$AA$42,$AA$48,$AA$54,$AA$60,$AA$66,$AA$72:$AA$79))*Parameters!$B$37/12</f>
        <v>23178.54124586667</v>
      </c>
      <c r="F81" s="46">
        <f>(SUM($AA$18:$AA$29)-SUM($AA$36,$AA$42,$AA$48,$AA$54,$AA$60,$AA$66,$AA$72:$AA$79))*Parameters!$B$37/12</f>
        <v>23178.54124586667</v>
      </c>
      <c r="G81" s="46">
        <f>(SUM($AA$18:$AA$29)-SUM($AA$36,$AA$42,$AA$48,$AA$54,$AA$60,$AA$66,$AA$72:$AA$79))*Parameters!$B$37/12</f>
        <v>23178.54124586667</v>
      </c>
      <c r="H81" s="46">
        <f>(SUM($AA$18:$AA$29)-SUM($AA$36,$AA$42,$AA$48,$AA$54,$AA$60,$AA$66,$AA$72:$AA$79))*Parameters!$B$37/12</f>
        <v>23178.54124586667</v>
      </c>
      <c r="I81" s="46">
        <f>(SUM($AA$18:$AA$29)-SUM($AA$36,$AA$42,$AA$48,$AA$54,$AA$60,$AA$66,$AA$72:$AA$79))*Parameters!$B$37/12</f>
        <v>23178.54124586667</v>
      </c>
      <c r="J81" s="46">
        <f>(SUM($AA$18:$AA$29)-SUM($AA$36,$AA$42,$AA$48,$AA$54,$AA$60,$AA$66,$AA$72:$AA$79))*Parameters!$B$37/12</f>
        <v>23178.54124586667</v>
      </c>
      <c r="K81" s="46">
        <f>(SUM($AA$18:$AA$29)-SUM($AA$36,$AA$42,$AA$48,$AA$54,$AA$60,$AA$66,$AA$72:$AA$79))*Parameters!$B$37/12</f>
        <v>23178.54124586667</v>
      </c>
      <c r="L81" s="46">
        <f>(SUM($AA$18:$AA$29)-SUM($AA$36,$AA$42,$AA$48,$AA$54,$AA$60,$AA$66,$AA$72:$AA$79))*Parameters!$B$37/12</f>
        <v>23178.54124586667</v>
      </c>
      <c r="M81" s="46">
        <f>(SUM($AA$18:$AA$29)-SUM($AA$36,$AA$42,$AA$48,$AA$54,$AA$60,$AA$66,$AA$72:$AA$79))*Parameters!$B$37/12</f>
        <v>23178.54124586667</v>
      </c>
      <c r="N81" s="46">
        <f>(SUM($AA$18:$AA$29)-SUM($AA$36,$AA$42,$AA$48,$AA$54,$AA$60,$AA$66,$AA$72:$AA$79))*Parameters!$B$37/12</f>
        <v>23178.54124586667</v>
      </c>
      <c r="O81" s="46">
        <f>(SUM($AA$18:$AA$29)-SUM($AA$36,$AA$42,$AA$48,$AA$54,$AA$60,$AA$66,$AA$72:$AA$79))*Parameters!$B$37/12</f>
        <v>23178.54124586667</v>
      </c>
      <c r="P81" s="46">
        <f>(SUM($AA$18:$AA$29)-SUM($AA$36,$AA$42,$AA$48,$AA$54,$AA$60,$AA$66,$AA$72:$AA$79))*Parameters!$B$37/12</f>
        <v>23178.54124586667</v>
      </c>
      <c r="Q81" s="46">
        <f>(SUM($AA$18:$AA$29)-SUM($AA$36,$AA$42,$AA$48,$AA$54,$AA$60,$AA$66,$AA$72:$AA$79))*Parameters!$B$37/12</f>
        <v>23178.54124586667</v>
      </c>
      <c r="R81" s="46">
        <f>(SUM($AA$18:$AA$29)-SUM($AA$36,$AA$42,$AA$48,$AA$54,$AA$60,$AA$66,$AA$72:$AA$79))*Parameters!$B$37/12</f>
        <v>23178.54124586667</v>
      </c>
      <c r="S81" s="46">
        <f>(SUM($AA$18:$AA$29)-SUM($AA$36,$AA$42,$AA$48,$AA$54,$AA$60,$AA$66,$AA$72:$AA$79))*Parameters!$B$37/12</f>
        <v>23178.54124586667</v>
      </c>
      <c r="T81" s="46">
        <f>(SUM($AA$18:$AA$29)-SUM($AA$36,$AA$42,$AA$48,$AA$54,$AA$60,$AA$66,$AA$72:$AA$79))*Parameters!$B$37/12</f>
        <v>23178.54124586667</v>
      </c>
      <c r="U81" s="46">
        <f>(SUM($AA$18:$AA$29)-SUM($AA$36,$AA$42,$AA$48,$AA$54,$AA$60,$AA$66,$AA$72:$AA$79))*Parameters!$B$37/12</f>
        <v>23178.54124586667</v>
      </c>
      <c r="V81" s="46">
        <f>(SUM($AA$18:$AA$29)-SUM($AA$36,$AA$42,$AA$48,$AA$54,$AA$60,$AA$66,$AA$72:$AA$79))*Parameters!$B$37/12</f>
        <v>23178.54124586667</v>
      </c>
      <c r="W81" s="46">
        <f>(SUM($AA$18:$AA$29)-SUM($AA$36,$AA$42,$AA$48,$AA$54,$AA$60,$AA$66,$AA$72:$AA$79))*Parameters!$B$37/12</f>
        <v>23178.54124586667</v>
      </c>
      <c r="X81" s="46">
        <f>(SUM($AA$18:$AA$29)-SUM($AA$36,$AA$42,$AA$48,$AA$54,$AA$60,$AA$66,$AA$72:$AA$79))*Parameters!$B$37/12</f>
        <v>23178.54124586667</v>
      </c>
      <c r="Y81" s="46">
        <f>(SUM($AA$18:$AA$29)-SUM($AA$36,$AA$42,$AA$48,$AA$54,$AA$60,$AA$66,$AA$72:$AA$79))*Parameters!$B$37/12</f>
        <v>23178.54124586667</v>
      </c>
      <c r="Z81" s="46">
        <f>SUMIF($B$13:$Y$13,"Yes",B81:Y81)</f>
        <v>301321.0361962668</v>
      </c>
      <c r="AA81" s="46">
        <f>SUM(B81:M81)</f>
        <v>278142.4949504001</v>
      </c>
      <c r="AB81" s="46">
        <f>SUM(B81:Y81)</f>
        <v>556284.9899008003</v>
      </c>
    </row>
    <row r="82" spans="1:30">
      <c r="A82" s="16" t="s">
        <v>52</v>
      </c>
      <c r="B82" s="46">
        <f>SUM(B83:B87)</f>
        <v>41356.58636263224</v>
      </c>
      <c r="C82" s="46">
        <f>SUM(C83:C87)</f>
        <v>41356.58636263224</v>
      </c>
      <c r="D82" s="46">
        <f>SUM(D83:D87)</f>
        <v>32882.19704965514</v>
      </c>
      <c r="E82" s="46">
        <f>SUM(E83:E87)</f>
        <v>28763.45659163987</v>
      </c>
      <c r="F82" s="46">
        <f>SUM(F83:F87)</f>
        <v>28763.45659163987</v>
      </c>
      <c r="G82" s="46">
        <f>SUM(G83:G87)</f>
        <v>28763.45659163987</v>
      </c>
      <c r="H82" s="46">
        <f>SUM(H83:H87)</f>
        <v>28763.45659163987</v>
      </c>
      <c r="I82" s="46">
        <f>SUM(I83:I87)</f>
        <v>28763.45659163987</v>
      </c>
      <c r="J82" s="46">
        <f>SUM(J83:J87)</f>
        <v>28763.45659163987</v>
      </c>
      <c r="K82" s="46">
        <f>SUM(K83:K87)</f>
        <v>28763.45659163987</v>
      </c>
      <c r="L82" s="46">
        <f>SUM(L83:L87)</f>
        <v>28763.45659163987</v>
      </c>
      <c r="M82" s="46">
        <f>SUM(M83:M87)</f>
        <v>28763.45659163987</v>
      </c>
      <c r="N82" s="46">
        <f>SUM(N83:N87)</f>
        <v>28763.45659163987</v>
      </c>
      <c r="O82" s="46">
        <f>SUM(O83:O87)</f>
        <v>28763.45659163987</v>
      </c>
      <c r="P82" s="46">
        <f>SUM(P83:P87)</f>
        <v>28763.45659163987</v>
      </c>
      <c r="Q82" s="46">
        <f>SUM(Q83:Q87)</f>
        <v>28763.45659163987</v>
      </c>
      <c r="R82" s="46">
        <f>SUM(R83:R87)</f>
        <v>28763.45659163987</v>
      </c>
      <c r="S82" s="46">
        <f>SUM(S83:S87)</f>
        <v>28763.45659163987</v>
      </c>
      <c r="T82" s="46">
        <f>SUM(T83:T87)</f>
        <v>28763.45659163987</v>
      </c>
      <c r="U82" s="46">
        <f>SUM(U83:U87)</f>
        <v>28763.45659163987</v>
      </c>
      <c r="V82" s="46">
        <f>SUM(V83:V87)</f>
        <v>28763.45659163987</v>
      </c>
      <c r="W82" s="46">
        <f>SUM(W83:W87)</f>
        <v>28763.45659163987</v>
      </c>
      <c r="X82" s="46">
        <f>SUM(X83:X87)</f>
        <v>28763.45659163987</v>
      </c>
      <c r="Y82" s="46">
        <f>SUM(Y83:Y87)</f>
        <v>28763.45659163987</v>
      </c>
      <c r="Z82" s="46">
        <f>SUMIF($B$13:$Y$13,"Yes",B82:Y82)</f>
        <v>403229.9356913185</v>
      </c>
      <c r="AA82" s="46">
        <f>SUM(B82:M82)</f>
        <v>374466.4790996786</v>
      </c>
      <c r="AB82" s="46">
        <f>SUM(B82:Y82)</f>
        <v>719627.9581993574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12593.12977099237</v>
      </c>
      <c r="C83" s="46">
        <f>IF(Calculations!$E23&gt;COUNT(Output!$B$35:C$35),Calculations!$B23,IF(Calculations!$E23=COUNT(Output!$B$35:C$35),Inputs!$B56-Calculations!$C23*(Calculations!$E23-1)+Calculations!$D23,0))</f>
        <v>12593.12977099237</v>
      </c>
      <c r="D83" s="46">
        <f>IF(Calculations!$E23&gt;COUNT(Output!$B$35:D$35),Calculations!$B23,IF(Calculations!$E23=COUNT(Output!$B$35:D$35),Inputs!$B56-Calculations!$C23*(Calculations!$E23-1)+Calculations!$D23,0))</f>
        <v>4118.740458015265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29305</v>
      </c>
      <c r="AA83" s="46">
        <f>SUM(B83:M83)</f>
        <v>29305</v>
      </c>
      <c r="AB83" s="46">
        <f>SUM(B83:Y83)</f>
        <v>29305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28763.45659163987</v>
      </c>
      <c r="C84" s="46">
        <f>IF(Calculations!$E24&gt;COUNT(Output!$B$35:C$35),Calculations!$B24,IF(Calculations!$E24=COUNT(Output!$B$35:C$35),Inputs!$B57-Calculations!$C24*(Calculations!$E24-1)+Calculations!$D24,0))</f>
        <v>28763.45659163987</v>
      </c>
      <c r="D84" s="46">
        <f>IF(Calculations!$E24&gt;COUNT(Output!$B$35:D$35),Calculations!$B24,IF(Calculations!$E24=COUNT(Output!$B$35:D$35),Inputs!$B57-Calculations!$C24*(Calculations!$E24-1)+Calculations!$D24,0))</f>
        <v>28763.45659163987</v>
      </c>
      <c r="E84" s="46">
        <f>IF(Calculations!$E24&gt;COUNT(Output!$B$35:E$35),Calculations!$B24,IF(Calculations!$E24=COUNT(Output!$B$35:E$35),Inputs!$B57-Calculations!$C24*(Calculations!$E24-1)+Calculations!$D24,0))</f>
        <v>28763.45659163987</v>
      </c>
      <c r="F84" s="46">
        <f>IF(Calculations!$E24&gt;COUNT(Output!$B$35:F$35),Calculations!$B24,IF(Calculations!$E24=COUNT(Output!$B$35:F$35),Inputs!$B57-Calculations!$C24*(Calculations!$E24-1)+Calculations!$D24,0))</f>
        <v>28763.45659163987</v>
      </c>
      <c r="G84" s="46">
        <f>IF(Calculations!$E24&gt;COUNT(Output!$B$35:G$35),Calculations!$B24,IF(Calculations!$E24=COUNT(Output!$B$35:G$35),Inputs!$B57-Calculations!$C24*(Calculations!$E24-1)+Calculations!$D24,0))</f>
        <v>28763.45659163987</v>
      </c>
      <c r="H84" s="46">
        <f>IF(Calculations!$E24&gt;COUNT(Output!$B$35:H$35),Calculations!$B24,IF(Calculations!$E24=COUNT(Output!$B$35:H$35),Inputs!$B57-Calculations!$C24*(Calculations!$E24-1)+Calculations!$D24,0))</f>
        <v>28763.45659163987</v>
      </c>
      <c r="I84" s="46">
        <f>IF(Calculations!$E24&gt;COUNT(Output!$B$35:I$35),Calculations!$B24,IF(Calculations!$E24=COUNT(Output!$B$35:I$35),Inputs!$B57-Calculations!$C24*(Calculations!$E24-1)+Calculations!$D24,0))</f>
        <v>28763.45659163987</v>
      </c>
      <c r="J84" s="46">
        <f>IF(Calculations!$E24&gt;COUNT(Output!$B$35:J$35),Calculations!$B24,IF(Calculations!$E24=COUNT(Output!$B$35:J$35),Inputs!$B57-Calculations!$C24*(Calculations!$E24-1)+Calculations!$D24,0))</f>
        <v>28763.45659163987</v>
      </c>
      <c r="K84" s="46">
        <f>IF(Calculations!$E24&gt;COUNT(Output!$B$35:K$35),Calculations!$B24,IF(Calculations!$E24=COUNT(Output!$B$35:K$35),Inputs!$B57-Calculations!$C24*(Calculations!$E24-1)+Calculations!$D24,0))</f>
        <v>28763.45659163987</v>
      </c>
      <c r="L84" s="46">
        <f>IF(Calculations!$E24&gt;COUNT(Output!$B$35:L$35),Calculations!$B24,IF(Calculations!$E24=COUNT(Output!$B$35:L$35),Inputs!$B57-Calculations!$C24*(Calculations!$E24-1)+Calculations!$D24,0))</f>
        <v>28763.45659163987</v>
      </c>
      <c r="M84" s="46">
        <f>IF(Calculations!$E24&gt;COUNT(Output!$B$35:M$35),Calculations!$B24,IF(Calculations!$E24=COUNT(Output!$B$35:M$35),Inputs!$B57-Calculations!$C24*(Calculations!$E24-1)+Calculations!$D24,0))</f>
        <v>28763.45659163987</v>
      </c>
      <c r="N84" s="46">
        <f>IF(Calculations!$E24&gt;COUNT(Output!$B$35:N$35),Calculations!$B24,IF(Calculations!$E24=COUNT(Output!$B$35:N$35),Inputs!$B57-Calculations!$C24*(Calculations!$E24-1)+Calculations!$D24,0))</f>
        <v>28763.45659163987</v>
      </c>
      <c r="O84" s="46">
        <f>IF(Calculations!$E24&gt;COUNT(Output!$B$35:O$35),Calculations!$B24,IF(Calculations!$E24=COUNT(Output!$B$35:O$35),Inputs!$B57-Calculations!$C24*(Calculations!$E24-1)+Calculations!$D24,0))</f>
        <v>28763.45659163987</v>
      </c>
      <c r="P84" s="46">
        <f>IF(Calculations!$E24&gt;COUNT(Output!$B$35:P$35),Calculations!$B24,IF(Calculations!$E24=COUNT(Output!$B$35:P$35),Inputs!$B57-Calculations!$C24*(Calculations!$E24-1)+Calculations!$D24,0))</f>
        <v>28763.45659163987</v>
      </c>
      <c r="Q84" s="46">
        <f>IF(Calculations!$E24&gt;COUNT(Output!$B$35:Q$35),Calculations!$B24,IF(Calculations!$E24=COUNT(Output!$B$35:Q$35),Inputs!$B57-Calculations!$C24*(Calculations!$E24-1)+Calculations!$D24,0))</f>
        <v>28763.45659163987</v>
      </c>
      <c r="R84" s="46">
        <f>IF(Calculations!$E24&gt;COUNT(Output!$B$35:R$35),Calculations!$B24,IF(Calculations!$E24=COUNT(Output!$B$35:R$35),Inputs!$B57-Calculations!$C24*(Calculations!$E24-1)+Calculations!$D24,0))</f>
        <v>28763.45659163987</v>
      </c>
      <c r="S84" s="46">
        <f>IF(Calculations!$E24&gt;COUNT(Output!$B$35:S$35),Calculations!$B24,IF(Calculations!$E24=COUNT(Output!$B$35:S$35),Inputs!$B57-Calculations!$C24*(Calculations!$E24-1)+Calculations!$D24,0))</f>
        <v>28763.45659163987</v>
      </c>
      <c r="T84" s="46">
        <f>IF(Calculations!$E24&gt;COUNT(Output!$B$35:T$35),Calculations!$B24,IF(Calculations!$E24=COUNT(Output!$B$35:T$35),Inputs!$B57-Calculations!$C24*(Calculations!$E24-1)+Calculations!$D24,0))</f>
        <v>28763.45659163987</v>
      </c>
      <c r="U84" s="46">
        <f>IF(Calculations!$E24&gt;COUNT(Output!$B$35:U$35),Calculations!$B24,IF(Calculations!$E24=COUNT(Output!$B$35:U$35),Inputs!$B57-Calculations!$C24*(Calculations!$E24-1)+Calculations!$D24,0))</f>
        <v>28763.45659163987</v>
      </c>
      <c r="V84" s="46">
        <f>IF(Calculations!$E24&gt;COUNT(Output!$B$35:V$35),Calculations!$B24,IF(Calculations!$E24=COUNT(Output!$B$35:V$35),Inputs!$B57-Calculations!$C24*(Calculations!$E24-1)+Calculations!$D24,0))</f>
        <v>28763.45659163987</v>
      </c>
      <c r="W84" s="46">
        <f>IF(Calculations!$E24&gt;COUNT(Output!$B$35:W$35),Calculations!$B24,IF(Calculations!$E24=COUNT(Output!$B$35:W$35),Inputs!$B57-Calculations!$C24*(Calculations!$E24-1)+Calculations!$D24,0))</f>
        <v>28763.45659163987</v>
      </c>
      <c r="X84" s="46">
        <f>IF(Calculations!$E24&gt;COUNT(Output!$B$35:X$35),Calculations!$B24,IF(Calculations!$E24=COUNT(Output!$B$35:X$35),Inputs!$B57-Calculations!$C24*(Calculations!$E24-1)+Calculations!$D24,0))</f>
        <v>28763.45659163987</v>
      </c>
      <c r="Y84" s="46">
        <f>IF(Calculations!$E24&gt;COUNT(Output!$B$35:Y$35),Calculations!$B24,IF(Calculations!$E24=COUNT(Output!$B$35:Y$35),Inputs!$B57-Calculations!$C24*(Calculations!$E24-1)+Calculations!$D24,0))</f>
        <v>28763.45659163987</v>
      </c>
      <c r="Z84" s="46">
        <f>SUMIF($B$13:$Y$13,"Yes",B84:Y84)</f>
        <v>373924.9356913184</v>
      </c>
      <c r="AA84" s="46">
        <f>SUM(B84:M84)</f>
        <v>345161.4790996785</v>
      </c>
      <c r="AB84" s="46">
        <f>SUM(B84:Y84)</f>
        <v>690322.9581993573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79935.12760849891</v>
      </c>
      <c r="C88" s="19">
        <f>SUM(C72:C82,C66,C60,C54,C48,C42,C36)</f>
        <v>79935.12760849891</v>
      </c>
      <c r="D88" s="19">
        <f>SUM(D72:D82,D66,D60,D54,D48,D42,D36)</f>
        <v>71460.73829552181</v>
      </c>
      <c r="E88" s="19">
        <f>SUM(E72:E82,E66,E60,E54,E48,E42,E36)</f>
        <v>67341.99783750654</v>
      </c>
      <c r="F88" s="19">
        <f>SUM(F72:F82,F66,F60,F54,F48,F42,F36)</f>
        <v>67341.99783750654</v>
      </c>
      <c r="G88" s="19">
        <f>SUM(G72:G82,G66,G60,G54,G48,G42,G36)</f>
        <v>67341.99783750654</v>
      </c>
      <c r="H88" s="19">
        <f>SUM(H72:H82,H66,H60,H54,H48,H42,H36)</f>
        <v>67341.99783750654</v>
      </c>
      <c r="I88" s="19">
        <f>SUM(I72:I82,I66,I60,I54,I48,I42,I36)</f>
        <v>67341.99783750654</v>
      </c>
      <c r="J88" s="19">
        <f>SUM(J72:J82,J66,J60,J54,J48,J42,J36)</f>
        <v>67341.99783750654</v>
      </c>
      <c r="K88" s="19">
        <f>SUM(K72:K82,K66,K60,K54,K48,K42,K36)</f>
        <v>67341.99783750654</v>
      </c>
      <c r="L88" s="19">
        <f>SUM(L72:L82,L66,L60,L54,L48,L42,L36)</f>
        <v>67341.99783750654</v>
      </c>
      <c r="M88" s="19">
        <f>SUM(M72:M82,M66,M60,M54,M48,M42,M36)</f>
        <v>67341.99783750654</v>
      </c>
      <c r="N88" s="19">
        <f>SUM(N72:N82,N66,N60,N54,N48,N42,N36)</f>
        <v>67341.99783750654</v>
      </c>
      <c r="O88" s="19">
        <f>SUM(O72:O82,O66,O60,O54,O48,O42,O36)</f>
        <v>67341.99783750654</v>
      </c>
      <c r="P88" s="19">
        <f>SUM(P72:P82,P66,P60,P54,P48,P42,P36)</f>
        <v>67341.99783750654</v>
      </c>
      <c r="Q88" s="19">
        <f>SUM(Q72:Q82,Q66,Q60,Q54,Q48,Q42,Q36)</f>
        <v>67341.99783750654</v>
      </c>
      <c r="R88" s="19">
        <f>SUM(R72:R82,R66,R60,R54,R48,R42,R36)</f>
        <v>67341.99783750654</v>
      </c>
      <c r="S88" s="19">
        <f>SUM(S72:S82,S66,S60,S54,S48,S42,S36)</f>
        <v>67341.99783750654</v>
      </c>
      <c r="T88" s="19">
        <f>SUM(T72:T82,T66,T60,T54,T48,T42,T36)</f>
        <v>67341.99783750654</v>
      </c>
      <c r="U88" s="19">
        <f>SUM(U72:U82,U66,U60,U54,U48,U42,U36)</f>
        <v>67341.99783750654</v>
      </c>
      <c r="V88" s="19">
        <f>SUM(V72:V82,V66,V60,V54,V48,V42,V36)</f>
        <v>67341.99783750654</v>
      </c>
      <c r="W88" s="19">
        <f>SUM(W72:W82,W66,W60,W54,W48,W42,W36)</f>
        <v>67341.99783750654</v>
      </c>
      <c r="X88" s="19">
        <f>SUM(X72:X82,X66,X60,X54,X48,X42,X36)</f>
        <v>67341.99783750654</v>
      </c>
      <c r="Y88" s="19">
        <f>SUM(Y72:Y82,Y66,Y60,Y54,Y48,Y42,Y36)</f>
        <v>67341.99783750654</v>
      </c>
      <c r="Z88" s="19">
        <f>SUMIF($B$13:$Y$13,"Yes",B88:Y88)</f>
        <v>904750.9718875852</v>
      </c>
      <c r="AA88" s="19">
        <f>SUM(B88:M88)</f>
        <v>837408.9740500787</v>
      </c>
      <c r="AB88" s="19">
        <f>SUM(B88:Y88)</f>
        <v>1645512.948100157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520000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1575000</v>
      </c>
    </row>
    <row r="98" spans="1:30">
      <c r="A98" t="s">
        <v>64</v>
      </c>
      <c r="B98" s="36">
        <f>IF(Inputs!B44="Yes",Inputs!B45,0)</f>
        <v>65000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3685000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761055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911055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92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2</v>
      </c>
      <c r="D19" s="145">
        <v>0</v>
      </c>
      <c r="E19" s="20"/>
      <c r="F19" s="145" t="s">
        <v>111</v>
      </c>
      <c r="G19" s="20"/>
      <c r="H19" s="20"/>
      <c r="I19" s="145" t="s">
        <v>112</v>
      </c>
      <c r="J19" s="145">
        <v>5</v>
      </c>
      <c r="K19" s="145"/>
      <c r="L19" s="25"/>
    </row>
    <row r="20" spans="1:48">
      <c r="A20" s="143" t="s">
        <v>113</v>
      </c>
      <c r="B20" s="16"/>
      <c r="C20" s="143">
        <v>6</v>
      </c>
      <c r="D20" s="147"/>
      <c r="E20" s="16"/>
      <c r="F20" s="147" t="s">
        <v>111</v>
      </c>
      <c r="G20" s="16"/>
      <c r="H20" s="16"/>
      <c r="I20" s="147" t="s">
        <v>112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10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30000</v>
      </c>
    </row>
    <row r="31" spans="1:48">
      <c r="A31" s="5" t="s">
        <v>120</v>
      </c>
      <c r="B31" s="158">
        <v>5000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111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111</v>
      </c>
    </row>
    <row r="45" spans="1:48">
      <c r="A45" s="56" t="s">
        <v>133</v>
      </c>
      <c r="B45" s="161">
        <v>65000</v>
      </c>
    </row>
    <row r="46" spans="1:48" customHeight="1" ht="30">
      <c r="A46" s="57" t="s">
        <v>134</v>
      </c>
      <c r="B46" s="161">
        <v>0</v>
      </c>
    </row>
    <row r="47" spans="1:48" customHeight="1" ht="30">
      <c r="A47" s="57" t="s">
        <v>135</v>
      </c>
      <c r="B47" s="161">
        <v>0</v>
      </c>
    </row>
    <row r="48" spans="1:48" customHeight="1" ht="30">
      <c r="A48" s="57" t="s">
        <v>136</v>
      </c>
      <c r="B48" s="161">
        <v>1500000</v>
      </c>
    </row>
    <row r="49" spans="1:48" customHeight="1" ht="30">
      <c r="A49" s="57" t="s">
        <v>137</v>
      </c>
      <c r="B49" s="161">
        <v>25000</v>
      </c>
    </row>
    <row r="50" spans="1:48">
      <c r="A50" s="43"/>
      <c r="B50" s="36"/>
    </row>
    <row r="51" spans="1:48">
      <c r="A51" s="58" t="s">
        <v>138</v>
      </c>
      <c r="B51" s="161">
        <v>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150000</v>
      </c>
      <c r="B56" s="159">
        <v>21055</v>
      </c>
      <c r="C56" s="162" t="s">
        <v>146</v>
      </c>
      <c r="D56" s="163" t="s">
        <v>147</v>
      </c>
      <c r="E56" s="163" t="s">
        <v>111</v>
      </c>
      <c r="F56" s="163" t="s">
        <v>148</v>
      </c>
    </row>
    <row r="57" spans="1:48">
      <c r="A57" s="157">
        <v>1041000</v>
      </c>
      <c r="B57" s="157">
        <v>740000</v>
      </c>
      <c r="C57" s="164" t="s">
        <v>149</v>
      </c>
      <c r="D57" s="165" t="s">
        <v>150</v>
      </c>
      <c r="E57" s="165" t="s">
        <v>111</v>
      </c>
      <c r="F57" s="165" t="s">
        <v>151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153</v>
      </c>
      <c r="C65" s="10" t="s">
        <v>154</v>
      </c>
    </row>
    <row r="66" spans="1:48">
      <c r="A66" s="142" t="s">
        <v>155</v>
      </c>
      <c r="B66" s="159">
        <v>127100</v>
      </c>
      <c r="C66" s="163">
        <v>100510</v>
      </c>
      <c r="D66" s="49">
        <f>INDEX(Parameters!$D$79:$D$90,MATCH(Inputs!A66,Parameters!$C$79:$C$90,0))</f>
        <v>5</v>
      </c>
    </row>
    <row r="67" spans="1:48">
      <c r="A67" s="143" t="s">
        <v>156</v>
      </c>
      <c r="B67" s="157">
        <v>153236</v>
      </c>
      <c r="C67" s="165">
        <v>112452</v>
      </c>
      <c r="D67" s="49">
        <f>INDEX(Parameters!$D$79:$D$90,MATCH(Inputs!A67,Parameters!$C$79:$C$90,0))</f>
        <v>4</v>
      </c>
    </row>
    <row r="68" spans="1:48">
      <c r="A68" s="143" t="s">
        <v>157</v>
      </c>
      <c r="B68" s="157">
        <v>108460</v>
      </c>
      <c r="C68" s="165">
        <v>87140</v>
      </c>
      <c r="D68" s="49">
        <f>INDEX(Parameters!$D$79:$D$90,MATCH(Inputs!A68,Parameters!$C$79:$C$90,0))</f>
        <v>3</v>
      </c>
    </row>
    <row r="69" spans="1:48">
      <c r="A69" s="143" t="s">
        <v>158</v>
      </c>
      <c r="B69" s="157">
        <v>115421</v>
      </c>
      <c r="C69" s="165">
        <v>85400</v>
      </c>
      <c r="D69" s="49">
        <f>INDEX(Parameters!$D$79:$D$90,MATCH(Inputs!A69,Parameters!$C$79:$C$90,0))</f>
        <v>2</v>
      </c>
    </row>
    <row r="70" spans="1:48">
      <c r="A70" s="143" t="s">
        <v>94</v>
      </c>
      <c r="B70" s="157">
        <v>98401</v>
      </c>
      <c r="C70" s="165">
        <v>80120</v>
      </c>
      <c r="D70" s="49">
        <f>INDEX(Parameters!$D$79:$D$90,MATCH(Inputs!A70,Parameters!$C$79:$C$90,0))</f>
        <v>1</v>
      </c>
    </row>
    <row r="71" spans="1:48">
      <c r="A71" s="144" t="s">
        <v>159</v>
      </c>
      <c r="B71" s="158">
        <v>89540</v>
      </c>
      <c r="C71" s="167">
        <v>71450</v>
      </c>
      <c r="D71" s="49">
        <f>INDEX(Parameters!$D$79:$D$90,MATCH(Inputs!A71,Parameters!$C$79:$C$90,0))</f>
        <v>12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13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150000</v>
      </c>
    </row>
    <row r="82" spans="1:48">
      <c r="A82" t="s">
        <v>169</v>
      </c>
      <c r="B82" s="161">
        <v>18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12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13219.528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277610.088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22500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Coffee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43101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110.40512</v>
      </c>
      <c r="M5" s="30">
        <f>L5*H5</f>
        <v>110.40512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44.8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4946.149375999999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22500</v>
      </c>
      <c r="AC5" s="22">
        <f>IF($A5=0,1/12,IFERROR(INDEX(Parameters!$X$2:$AI$17,MATCH(Calculations!$A5,Parameters!$A$2:$A$17,0),MONTH(Calculations!AC$3)),1/12))</f>
        <v>0</v>
      </c>
      <c r="AD5" s="22">
        <f>IF($A5=0,1/12,IFERROR(INDEX(Parameters!$X$2:$AI$17,MATCH(Calculations!$A5,Parameters!$A$2:$A$17,0),MONTH(Calculations!AD$3)),1/12))</f>
        <v>0.1282051282051282</v>
      </c>
      <c r="AE5" s="22">
        <f>IF($A5=0,1/12,IFERROR(INDEX(Parameters!$X$2:$AI$17,MATCH(Calculations!$A5,Parameters!$A$2:$A$17,0),MONTH(Calculations!AE$3)),1/12))</f>
        <v>0.1282051282051282</v>
      </c>
      <c r="AF5" s="22">
        <f>IF($A5=0,1/12,IFERROR(INDEX(Parameters!$X$2:$AI$17,MATCH(Calculations!$A5,Parameters!$A$2:$A$17,0),MONTH(Calculations!AF$3)),1/12))</f>
        <v>0.05128205128205128</v>
      </c>
      <c r="AG5" s="22">
        <f>IF($A5=0,1/12,IFERROR(INDEX(Parameters!$X$2:$AI$17,MATCH(Calculations!$A5,Parameters!$A$2:$A$17,0),MONTH(Calculations!AG$3)),1/12))</f>
        <v>0</v>
      </c>
      <c r="AH5" s="22">
        <f>IF($A5=0,1/12,IFERROR(INDEX(Parameters!$X$2:$AI$17,MATCH(Calculations!$A5,Parameters!$A$2:$A$17,0),MONTH(Calculations!AH$3)),1/12))</f>
        <v>0.05128205128205128</v>
      </c>
      <c r="AI5" s="22">
        <f>IF($A5=0,1/12,IFERROR(INDEX(Parameters!$X$2:$AI$17,MATCH(Calculations!$A5,Parameters!$A$2:$A$17,0),MONTH(Calculations!AI$3)),1/12))</f>
        <v>0.1025641025641026</v>
      </c>
      <c r="AJ5" s="22">
        <f>IF($A5=0,1/12,IFERROR(INDEX(Parameters!$X$2:$AI$17,MATCH(Calculations!$A5,Parameters!$A$2:$A$17,0),MONTH(Calculations!AJ$3)),1/12))</f>
        <v>0.1282051282051282</v>
      </c>
      <c r="AK5" s="22">
        <f>IF($A5=0,1/12,IFERROR(INDEX(Parameters!$X$2:$AI$17,MATCH(Calculations!$A5,Parameters!$A$2:$A$17,0),MONTH(Calculations!AK$3)),1/12))</f>
        <v>0.1282051282051282</v>
      </c>
      <c r="AL5" s="22">
        <f>IF($A5=0,1/12,IFERROR(INDEX(Parameters!$X$2:$AI$17,MATCH(Calculations!$A5,Parameters!$A$2:$A$17,0),MONTH(Calculations!AL$3)),1/12))</f>
        <v>0.1282051282051282</v>
      </c>
      <c r="AM5" s="22">
        <f>IF($A5=0,1/12,IFERROR(INDEX(Parameters!$X$2:$AI$17,MATCH(Calculations!$A5,Parameters!$A$2:$A$17,0),MONTH(Calculations!AM$3)),1/12))</f>
        <v>0.1025641025641026</v>
      </c>
      <c r="AN5" s="22">
        <f>IF($A5=0,1/12,IFERROR(INDEX(Parameters!$X$2:$AI$17,MATCH(Calculations!$A5,Parameters!$A$2:$A$17,0),MONTH(Calculations!AN$3)),1/12))</f>
        <v>0.05128205128205128</v>
      </c>
      <c r="AO5" s="22">
        <f>IF($A5=0,1/12,IFERROR(INDEX(Parameters!$X$2:$AI$17,MATCH(Calculations!$A5,Parameters!$A$2:$A$17,0),MONTH(Calculations!AO$3)),1/12))</f>
        <v>0</v>
      </c>
      <c r="AP5" s="22">
        <f>IF($A5=0,1/12,IFERROR(INDEX(Parameters!$X$2:$AI$17,MATCH(Calculations!$A5,Parameters!$A$2:$A$17,0),MONTH(Calculations!AP$3)),1/12))</f>
        <v>0.1282051282051282</v>
      </c>
      <c r="AQ5" s="22">
        <f>IF($A5=0,1/12,IFERROR(INDEX(Parameters!$X$2:$AI$17,MATCH(Calculations!$A5,Parameters!$A$2:$A$17,0),MONTH(Calculations!AQ$3)),1/12))</f>
        <v>0.1282051282051282</v>
      </c>
      <c r="AR5" s="22">
        <f>IF($A5=0,1/12,IFERROR(INDEX(Parameters!$X$2:$AI$17,MATCH(Calculations!$A5,Parameters!$A$2:$A$17,0),MONTH(Calculations!AR$3)),1/12))</f>
        <v>0.05128205128205128</v>
      </c>
      <c r="AS5" s="22">
        <f>IF($A5=0,1/12,IFERROR(INDEX(Parameters!$X$2:$AI$17,MATCH(Calculations!$A5,Parameters!$A$2:$A$17,0),MONTH(Calculations!AS$3)),1/12))</f>
        <v>0</v>
      </c>
      <c r="AT5" s="22">
        <f>IF($A5=0,1/12,IFERROR(INDEX(Parameters!$X$2:$AI$17,MATCH(Calculations!$A5,Parameters!$A$2:$A$17,0),MONTH(Calculations!AT$3)),1/12))</f>
        <v>0.05128205128205128</v>
      </c>
      <c r="AU5" s="22">
        <f>IF($A5=0,1/12,IFERROR(INDEX(Parameters!$X$2:$AI$17,MATCH(Calculations!$A5,Parameters!$A$2:$A$17,0),MONTH(Calculations!AU$3)),1/12))</f>
        <v>0.1025641025641026</v>
      </c>
      <c r="AV5" s="22">
        <f>IF($A5=0,1/12,IFERROR(INDEX(Parameters!$X$2:$AI$17,MATCH(Calculations!$A5,Parameters!$A$2:$A$17,0),MONTH(Calculations!AV$3)),1/12))</f>
        <v>0.1282051282051282</v>
      </c>
      <c r="AW5" s="22">
        <f>IF($A5=0,1/12,IFERROR(INDEX(Parameters!$X$2:$AI$17,MATCH(Calculations!$A5,Parameters!$A$2:$A$17,0),MONTH(Calculations!AW$3)),1/12))</f>
        <v>0.1282051282051282</v>
      </c>
      <c r="AX5" s="22">
        <f>IF($A5=0,1/12,IFERROR(INDEX(Parameters!$X$2:$AI$17,MATCH(Calculations!$A5,Parameters!$A$2:$A$17,0),MONTH(Calculations!AX$3)),1/12))</f>
        <v>0.1282051282051282</v>
      </c>
      <c r="AY5" s="22">
        <f>IF($A5=0,1/12,IFERROR(INDEX(Parameters!$X$2:$AI$17,MATCH(Calculations!$A5,Parameters!$A$2:$A$17,0),MONTH(Calculations!AY$3)),1/12))</f>
        <v>0.1025641025641026</v>
      </c>
      <c r="AZ5" s="22">
        <f>IF($A5=0,1/12,IFERROR(INDEX(Parameters!$X$2:$AI$17,MATCH(Calculations!$A5,Parameters!$A$2:$A$17,0),MONTH(Calculations!AZ$3)),1/12))</f>
        <v>0.05128205128205128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0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6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</v>
      </c>
      <c r="H15" s="121">
        <f>IFERROR(IF(B15="meat",INDEX(Parameters!$A$22:$P$29,MATCH(Calculations!A15,Parameters!$A$22:$A$29,0),MATCH(Parameters!$I$22,Parameters!$A$22:$P$22,0))*G15,""),"")</f>
        <v>66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237600</v>
      </c>
      <c r="Q15" s="64">
        <f>IFERROR(D15*INDEX(Parameters!$A$22:$P$29,MATCH(Calculations!$A15,Parameters!$A$22:$A$29,0),MATCH(Parameters!$L$22,Parameters!$A$22:$P$22,0))*IF(Inputs!I20="Always",1,IF(Inputs!I20="Sometimes",0.5,0))*365,"")</f>
        <v>32850</v>
      </c>
      <c r="R15" s="64">
        <f>IFERROR(D15*INDEX(Parameters!$A$22:$P$29,MATCH(Calculations!$A15,Parameters!$A$22:$A$29,0),MATCH(Parameters!$M$22,Parameters!$A$22:$P$22,0)),"")</f>
        <v>1200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150000</v>
      </c>
      <c r="B23" s="75">
        <f>SUM(C23:D23)</f>
        <v>12593.12977099237</v>
      </c>
      <c r="C23" s="75">
        <f>IF(Inputs!B56&gt;0,(Inputs!A56-Inputs!B56)/(DATE(YEAR(Inputs!$B$76),MONTH(Inputs!$B$76),DAY(Inputs!$B$76))-DATE(YEAR(Inputs!C56),MONTH(Inputs!C56),DAY(Inputs!C56)))*30,0)</f>
        <v>9843.129770992367</v>
      </c>
      <c r="D23" s="75">
        <f>IF(Inputs!B56&gt;0,Inputs!A56*0.22/12,0)</f>
        <v>2750</v>
      </c>
      <c r="E23" s="75">
        <f>IFERROR(ROUNDUP(Inputs!B56/C23,0),0)</f>
        <v>3</v>
      </c>
    </row>
    <row r="24" spans="1:52">
      <c r="A24" s="46">
        <f>Inputs!A57</f>
        <v>1041000</v>
      </c>
      <c r="B24" s="46">
        <f>SUM(C24:D24)</f>
        <v>28763.45659163987</v>
      </c>
      <c r="C24" s="46">
        <f>IF(Inputs!B57&gt;0,(Inputs!A57-Inputs!B57)/(DATE(YEAR(Inputs!$B$76),MONTH(Inputs!$B$76),DAY(Inputs!$B$76))-DATE(YEAR(Inputs!C57),MONTH(Inputs!C57),DAY(Inputs!C57)))*30,0)</f>
        <v>9678.456591639871</v>
      </c>
      <c r="D24" s="46">
        <f>IF(Inputs!B57&gt;0,Inputs!A57*0.22/12,0)</f>
        <v>19085</v>
      </c>
      <c r="E24" s="46">
        <f>IFERROR(ROUNDUP(Inputs!B57/B24,0),0)</f>
        <v>26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42915</v>
      </c>
      <c r="C33" s="27">
        <f>IF(B33&lt;&gt;"",IF(COUNT($A$33:A33)&lt;=$G$39,0,$G$41)+IF(COUNT($A$33:A33)&lt;=$G$40,0,$G$42),0)</f>
        <v>14750</v>
      </c>
      <c r="D33" s="170">
        <f>IFERROR(DATE(YEAR(B33),MONTH(B33),1)," ")</f>
        <v>42887</v>
      </c>
      <c r="F33" t="s">
        <v>165</v>
      </c>
      <c r="G33" s="128">
        <f>IF(Inputs!B79="","",DATE(YEAR(Inputs!B79),MONTH(Inputs!B79),DAY(Inputs!B79)))</f>
        <v>42884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42944</v>
      </c>
      <c r="C34" s="27">
        <f>IF(B34&lt;&gt;"",IF(COUNT($A$33:A34)&lt;=$G$39,0,$G$41)+IF(COUNT($A$33:A34)&lt;=$G$40,0,$G$42),0)</f>
        <v>14750</v>
      </c>
      <c r="D34" s="170">
        <f>IFERROR(DATE(YEAR(B34),MONTH(B34),1)," ")</f>
        <v>42917</v>
      </c>
      <c r="F34" t="s">
        <v>166</v>
      </c>
      <c r="G34" s="128">
        <f>IF(Inputs!B80="","",DATE(YEAR(Inputs!B80),MONTH(Inputs!B80),DAY(Inputs!B80)))</f>
        <v>42915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42975</v>
      </c>
      <c r="C35" s="27">
        <f>IF(B35&lt;&gt;"",IF(COUNT($A$33:A35)&lt;=$G$39,0,$G$41)+IF(COUNT($A$33:A35)&lt;=$G$40,0,$G$42),0)</f>
        <v>14750</v>
      </c>
      <c r="D35" s="170">
        <f>IFERROR(DATE(YEAR(B35),MONTH(B35),1)," ")</f>
        <v>42948</v>
      </c>
      <c r="F35" t="s">
        <v>168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43006</v>
      </c>
      <c r="C36" s="27">
        <f>IF(B36&lt;&gt;"",IF(COUNT($A$33:A36)&lt;=$G$39,0,$G$41)+IF(COUNT($A$33:A36)&lt;=$G$40,0,$G$42),0)</f>
        <v>14750</v>
      </c>
      <c r="D36" s="170">
        <f>IFERROR(DATE(YEAR(B36),MONTH(B36),1)," ")</f>
        <v>42979</v>
      </c>
      <c r="F36" t="s">
        <v>169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43036</v>
      </c>
      <c r="C37" s="27">
        <f>IF(B37&lt;&gt;"",IF(COUNT($A$33:A37)&lt;=$G$39,0,$G$41)+IF(COUNT($A$33:A37)&lt;=$G$40,0,$G$42),0)</f>
        <v>14750</v>
      </c>
      <c r="D37" s="170">
        <f>IFERROR(DATE(YEAR(B37),MONTH(B37),1)," ")</f>
        <v>43009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43067</v>
      </c>
      <c r="C38" s="27">
        <f>IF(B38&lt;&gt;"",IF(COUNT($A$33:A38)&lt;=$G$39,0,$G$41)+IF(COUNT($A$33:A38)&lt;=$G$40,0,$G$42),0)</f>
        <v>14750</v>
      </c>
      <c r="D38" s="170">
        <f>IFERROR(DATE(YEAR(B38),MONTH(B38),1)," ")</f>
        <v>43040</v>
      </c>
      <c r="F38" t="s">
        <v>231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43097</v>
      </c>
      <c r="C39" s="27">
        <f>IF(B39&lt;&gt;"",IF(COUNT($A$33:A39)&lt;=$G$39,0,$G$41)+IF(COUNT($A$33:A39)&lt;=$G$40,0,$G$42),0)</f>
        <v>14750</v>
      </c>
      <c r="D39" s="170">
        <f>IFERROR(DATE(YEAR(B39),MONTH(B39),1)," ")</f>
        <v>43070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43128</v>
      </c>
      <c r="C40" s="27">
        <f>IF(B40&lt;&gt;"",IF(COUNT($A$33:A40)&lt;=$G$39,0,$G$41)+IF(COUNT($A$33:A40)&lt;=$G$40,0,$G$42),0)</f>
        <v>14750</v>
      </c>
      <c r="D40" s="170">
        <f>IFERROR(DATE(YEAR(B40),MONTH(B40),1)," ")</f>
        <v>43101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43159</v>
      </c>
      <c r="C41" s="27">
        <f>IF(B41&lt;&gt;"",IF(COUNT($A$33:A41)&lt;=$G$39,0,$G$41)+IF(COUNT($A$33:A41)&lt;=$G$40,0,$G$42),0)</f>
        <v>14750</v>
      </c>
      <c r="D41" s="170">
        <f>IFERROR(DATE(YEAR(B41),MONTH(B41),1)," ")</f>
        <v>43132</v>
      </c>
      <c r="F41" t="s">
        <v>232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43187</v>
      </c>
      <c r="C42" s="27">
        <f>IF(B42&lt;&gt;"",IF(COUNT($A$33:A42)&lt;=$G$39,0,$G$41)+IF(COUNT($A$33:A42)&lt;=$G$40,0,$G$42),0)</f>
        <v>14750</v>
      </c>
      <c r="D42" s="170">
        <f>IFERROR(DATE(YEAR(B42),MONTH(B42),1)," ")</f>
        <v>43160</v>
      </c>
      <c r="F42" t="s">
        <v>233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43218</v>
      </c>
      <c r="C43" s="27">
        <f>IF(B43&lt;&gt;"",IF(COUNT($A$33:A43)&lt;=$G$39,0,$G$41)+IF(COUNT($A$33:A43)&lt;=$G$40,0,$G$42),0)</f>
        <v>14750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43248</v>
      </c>
      <c r="C44" s="27">
        <f>IF(B44&lt;&gt;"",IF(COUNT($A$33:A44)&lt;=$G$39,0,$G$41)+IF(COUNT($A$33:A44)&lt;=$G$40,0,$G$42),0)</f>
        <v>14750</v>
      </c>
      <c r="D44" s="170">
        <f>IFERROR(DATE(YEAR(B44),MONTH(B44),1)," ")</f>
        <v>43221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95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206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304</v>
      </c>
      <c r="B26" s="16" t="s">
        <v>301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301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301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113</v>
      </c>
      <c r="B29" s="118" t="s">
        <v>301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98</v>
      </c>
      <c r="B41" s="191" t="s">
        <v>92</v>
      </c>
      <c r="C41" s="191" t="s">
        <v>111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304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113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317</v>
      </c>
      <c r="H52" s="12" t="s">
        <v>131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234</v>
      </c>
      <c r="E53" s="10" t="s">
        <v>193</v>
      </c>
      <c r="F53" s="10" t="s">
        <v>253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111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111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111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111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111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111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111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111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111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111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111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171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230</v>
      </c>
      <c r="J76" s="11" t="s">
        <v>351</v>
      </c>
      <c r="K76" s="11" t="s">
        <v>183</v>
      </c>
      <c r="AJ76" s="12"/>
    </row>
    <row r="77" spans="1:36">
      <c r="A77" t="s">
        <v>111</v>
      </c>
      <c r="B77" s="176">
        <v>0</v>
      </c>
      <c r="C77" s="12" t="s">
        <v>352</v>
      </c>
      <c r="E77" s="12" t="s">
        <v>92</v>
      </c>
      <c r="F77" s="12" t="s">
        <v>92</v>
      </c>
      <c r="G77" s="12" t="s">
        <v>353</v>
      </c>
      <c r="H77" s="12" t="s">
        <v>131</v>
      </c>
      <c r="I77" s="12" t="s">
        <v>354</v>
      </c>
      <c r="J77" s="136" t="s">
        <v>90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355</v>
      </c>
      <c r="D78" s="133"/>
      <c r="E78" s="12" t="s">
        <v>91</v>
      </c>
      <c r="F78" s="12" t="s">
        <v>356</v>
      </c>
      <c r="G78" s="12" t="s">
        <v>112</v>
      </c>
      <c r="H78" s="12" t="s">
        <v>318</v>
      </c>
      <c r="I78" s="12" t="s">
        <v>357</v>
      </c>
      <c r="J78" s="70" t="s">
        <v>96</v>
      </c>
      <c r="K78" s="12" t="s">
        <v>92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171</v>
      </c>
      <c r="J79" s="70" t="s">
        <v>361</v>
      </c>
      <c r="K79" s="12" t="s">
        <v>92</v>
      </c>
      <c r="AJ79" s="12"/>
    </row>
    <row r="80" spans="1:36">
      <c r="B80" s="176">
        <v>20</v>
      </c>
      <c r="C80" s="12" t="s">
        <v>158</v>
      </c>
      <c r="D80" s="12">
        <f>D79+1</f>
        <v>2</v>
      </c>
      <c r="E80" s="12" t="s">
        <v>362</v>
      </c>
      <c r="F80" s="12" t="s">
        <v>93</v>
      </c>
      <c r="J80" s="70" t="s">
        <v>363</v>
      </c>
      <c r="K80" s="12" t="s">
        <v>111</v>
      </c>
      <c r="AJ80" s="12"/>
    </row>
    <row r="81" spans="1:36">
      <c r="B81" s="176">
        <v>30</v>
      </c>
      <c r="C81" s="12" t="s">
        <v>157</v>
      </c>
      <c r="D81" s="12">
        <f>D80+1</f>
        <v>3</v>
      </c>
      <c r="J81" s="70" t="s">
        <v>364</v>
      </c>
      <c r="K81" s="12" t="s">
        <v>111</v>
      </c>
    </row>
    <row r="82" spans="1:36">
      <c r="B82" s="176">
        <v>40</v>
      </c>
      <c r="C82" s="12" t="s">
        <v>156</v>
      </c>
      <c r="D82" s="12">
        <f>D81+1</f>
        <v>4</v>
      </c>
      <c r="J82" s="70"/>
    </row>
    <row r="83" spans="1:36">
      <c r="B83" s="176">
        <v>50</v>
      </c>
      <c r="C83" s="12" t="s">
        <v>155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366</v>
      </c>
      <c r="D85" s="12">
        <f>D84+1</f>
        <v>7</v>
      </c>
    </row>
    <row r="86" spans="1:36">
      <c r="B86" s="176">
        <v>80</v>
      </c>
      <c r="C86" s="12" t="s">
        <v>367</v>
      </c>
      <c r="D86" s="12">
        <f>D85+1</f>
        <v>8</v>
      </c>
    </row>
    <row r="87" spans="1:36">
      <c r="B87" s="176">
        <v>89.99999999999999</v>
      </c>
      <c r="C87" s="12" t="s">
        <v>368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159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