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<sst xmlns="http://schemas.openxmlformats.org/spreadsheetml/2006/main" uniqueCount="368">
  <si>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</si>
  <si>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</si>
  <si>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</si>
  <si>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</si>
  <si>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</si>
  <si>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</si>
  <si>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</si>
  <si>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</si>
  <si>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</si>
  <si>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</si>
  <si>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</si>
  <si>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</si>
  <si>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</si>
  <si>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</si>
  <si>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</si>
  <si>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</si>
  <si>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</si>
  <si>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</si>
  <si>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</si>
  <si>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</si>
  <si>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</si>
  <si>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</si>
  <si>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</si>
  <si>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</si>
  <si>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</si>
  <si>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</si>
  <si>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</si>
  <si>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</si>
  <si>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</si>
  <si>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</si>
  <si>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</si>
  <si>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</si>
  <si>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</si>
  <si>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</si>
  <si>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</si>
  <si>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</si>
  <si>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</si>
  <si>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</si>
  <si>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</si>
  <si>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</si>
  <si>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</si>
  <si>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</si>
  <si>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</si>
  <si>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</si>
  <si>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</si>
  <si>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</si>
  <si>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</si>
  <si>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</si>
  <si>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</si>
  <si>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</si>
  <si>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</si>
  <si>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</si>
  <si>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</si>
  <si>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</si>
  <si>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</si>
  <si>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</si>
  <si>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</si>
  <si>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</si>
  <si>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</si>
  <si>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</si>
  <si>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</si>
  <si>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</si>
  <si>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</si>
  <si>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</si>
  <si>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</si>
  <si>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</si>
  <si>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</si>
  <si>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</si>
  <si>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</si>
  <si>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</si>
  <si>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</si>
  <si>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</si>
  <si>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</si>
  <si>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</si>
  <si>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</si>
  <si>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</si>
  <si>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</si>
  <si>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</si>
  <si>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</si>
  <si>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</si>
  <si>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</si>
  <si>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</si>
  <si>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</si>
  <si>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</si>
  <si>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</si>
  <si>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</si>
  <si>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</si>
  <si>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</si>
  <si>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</si>
  <si>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</si>
  <si>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</si>
  <si>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</si>
  <si>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</si>
  <si>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</si>
  <si>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September</t>
  </si>
  <si>
    <t>Carrots</t>
  </si>
  <si>
    <t>August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</si>
  <si>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</si>
  <si>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</si>
  <si>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</si>
  <si>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</si>
  <si>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</si>
  <si>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</si>
  <si>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</si>
  <si>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</si>
  <si>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</si>
  <si>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</si>
  <si>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</si>
  <si>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</si>
  <si>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</si>
  <si>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</si>
  <si>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</si>
  <si>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</si>
  <si>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</si>
  <si>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</si>
  <si>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</si>
  <si>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</si>
  <si>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</si>
  <si>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</si>
  <si>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</si>
  <si>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</si>
  <si>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</si>
  <si>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</si>
  <si>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</si>
  <si>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</si>
  <si>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</si>
  <si>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</si>
  <si>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</si>
  <si>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</si>
  <si>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</si>
  <si>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</si>
  <si>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</si>
  <si>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</si>
  <si>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</si>
  <si>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</si>
  <si>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</si>
  <si>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</si>
  <si>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</si>
  <si>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</si>
  <si>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</si>
  <si>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</si>
  <si>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</si>
  <si>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</si>
  <si>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</si>
  <si>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4/12/2014</t>
  </si>
  <si>
    <t>Mshwari</t>
  </si>
  <si>
    <t>His brother borrowed without Dicksons knowledge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</si>
  <si>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</si>
  <si>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</si>
  <si>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</si>
  <si>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</si>
  <si>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</si>
  <si>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</si>
  <si>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</si>
  <si>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January</t>
  </si>
  <si>
    <t>December</t>
  </si>
  <si>
    <t>Loan info</t>
  </si>
  <si>
    <t>Branch ID</t>
  </si>
  <si>
    <t>Submission date</t>
  </si>
  <si>
    <t>2017/5/29</t>
  </si>
  <si>
    <t>Loan terms</t>
  </si>
  <si>
    <t>Expected disbursement date</t>
  </si>
  <si>
    <t>Expected first repayment date</t>
  </si>
  <si>
    <t>2017/6/29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</si>
  <si>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</si>
  <si>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</si>
  <si>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</si>
  <si>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</si>
  <si>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</si>
  <si>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</si>
  <si>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</si>
  <si>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</si>
  <si>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</si>
  <si>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</si>
  <si>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</si>
  <si>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</si>
  <si>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</si>
  <si>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</si>
  <si>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</si>
  <si>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</si>
  <si>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</si>
  <si>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</si>
  <si>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</si>
  <si>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</si>
  <si>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</si>
  <si>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</si>
  <si>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</si>
  <si>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</si>
  <si>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</si>
  <si>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</si>
  <si>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</si>
  <si>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</si>
  <si>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</si>
  <si>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</si>
  <si>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</si>
  <si>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</si>
  <si>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</si>
  <si>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</si>
  <si>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</si>
  <si>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</si>
  <si>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</si>
  <si>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</si>
  <si>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</si>
  <si>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</si>
  <si>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</si>
  <si>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</si>
  <si>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</si>
  <si>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</si>
  <si>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</si>
  <si>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</si>
  <si>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</si>
  <si>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</si>
  <si>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</si>
  <si>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</si>
  <si>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</si>
  <si>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</si>
  <si>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</si>
  <si>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</si>
  <si>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</si>
  <si>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</si>
  <si>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</si>
  <si>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</si>
  <si>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</si>
  <si>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</si>
  <si>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</si>
  <si>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</si>
  <si>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</si>
  <si>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</si>
  <si>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</si>
  <si>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</si>
  <si>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</si>
  <si>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</si>
  <si>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</si>
  <si>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</si>
  <si>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</si>
  <si>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</si>
  <si>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</si>
  <si>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</si>
  <si>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</si>
  <si>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</si>
  <si>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</si>
  <si>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</si>
  <si>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</si>
  <si>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</si>
  <si>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</si>
  <si>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</si>
  <si>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</si>
  <si>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</si>
  <si>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</si>
  <si>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</si>
  <si>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</si>
  <si>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</si>
  <si>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</si>
  <si>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</si>
  <si>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</si>
  <si>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</si>
  <si>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</si>
  <si>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</si>
  <si>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</si>
  <si>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</si>
  <si>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</si>
  <si>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</si>
  <si>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</si>
  <si>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</si>
  <si>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</si>
  <si>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</si>
  <si>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</si>
  <si>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</si>
  <si>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</si>
  <si>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</si>
  <si>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</si>
  <si>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</si>
  <si>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</si>
  <si>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</si>
  <si>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</si>
  <si>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</si>
  <si>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</si>
  <si>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</si>
  <si>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</si>
  <si>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</si>
  <si>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</si>
  <si>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</si>
  <si>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</si>
  <si>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</si>
  <si>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</si>
  <si>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</si>
  <si>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</si>
  <si>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</si>
  <si>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</si>
  <si>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</si>
  <si>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</si>
  <si>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</si>
  <si>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</si>
  <si>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</si>
  <si>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</si>
  <si>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</si>
  <si>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</si>
  <si>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</si>
  <si>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</si>
  <si>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</si>
  <si>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</si>
  <si>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</si>
  <si>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</si>
  <si>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</si>
  <si>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</si>
  <si>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</si>
  <si>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</si>
  <si>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</si>
  <si>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</si>
  <si>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</si>
  <si>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</si>
  <si>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</si>
  <si>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</si>
  <si>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</si>
  <si>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</si>
  <si>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</si>
  <si>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</si>
  <si>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</si>
  <si>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</si>
  <si>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</si>
  <si>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</si>
  <si>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</si>
  <si>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</si>
  <si>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</si>
  <si>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</si>
  <si>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</si>
  <si>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</si>
  <si>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</si>
  <si>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</si>
  <si>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</si>
  <si>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</si>
  <si>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</si>
  <si>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</si>
  <si>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</si>
  <si>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</si>
  <si>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</si>
  <si>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</si>
  <si>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</si>
  <si>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</si>
  <si>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</si>
  <si>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</si>
  <si>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</si>
  <si>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</si>
  <si>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</si>
  <si>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</si>
  <si>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</si>
  <si>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</si>
  <si>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</si>
  <si>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</si>
  <si>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</si>
  <si>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</si>
  <si>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</si>
  <si>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</si>
  <si>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</si>
  <si>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</si>
  <si>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</si>
  <si>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</si>
  <si>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</si>
  <si>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</si>
  <si>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</si>
  <si>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</si>
  <si>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</si>
  <si>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</si>
  <si>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</si>
  <si>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June</t>
  </si>
  <si>
    <t>July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</si>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</sst>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Carrots,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0.03170706098805828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2017</v>
      </c>
    </row>
    <row r="13" spans="1:7">
      <c r="B13" s="1" t="s">
        <v>8</v>
      </c>
      <c r="C13" s="67">
        <f>IFERROR(Output!B107/Output!B101,"")</f>
        <v>0.003109452736318408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9833.333333333334</v>
      </c>
    </row>
    <row r="17" spans="1:7">
      <c r="B17" s="1" t="s">
        <v>11</v>
      </c>
      <c r="C17" s="36">
        <f>SUM(Output!B6:M6)</f>
        <v>3986987.843541175</v>
      </c>
    </row>
    <row r="18" spans="1:7">
      <c r="B18" s="1" t="s">
        <v>12</v>
      </c>
      <c r="C18" s="36">
        <f>MIN(Output!B6:M6)</f>
        <v>-759419.3246411764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2179025.009734514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1300</v>
      </c>
    </row>
    <row r="25" spans="1:7">
      <c r="B25" s="1" t="s">
        <v>18</v>
      </c>
      <c r="C25" s="36">
        <f>MAX(Inputs!A56:A60)</f>
        <v>1300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-365419.3246411765</v>
      </c>
      <c r="C6" s="51">
        <f>C30-C88</f>
        <v>2179025.009734514</v>
      </c>
      <c r="D6" s="51">
        <f>D30-D88</f>
        <v>1577826.210600779</v>
      </c>
      <c r="E6" s="51">
        <f>E30-E88</f>
        <v>-340099.3246411765</v>
      </c>
      <c r="F6" s="51">
        <f>F30-F88</f>
        <v>-759419.3246411764</v>
      </c>
      <c r="G6" s="51">
        <f>G30-G88</f>
        <v>-298419.3246411765</v>
      </c>
      <c r="H6" s="51">
        <f>H30-H88</f>
        <v>-365419.3246411765</v>
      </c>
      <c r="I6" s="51">
        <f>I30-I88</f>
        <v>2179025.009734514</v>
      </c>
      <c r="J6" s="51">
        <f>J30-J88</f>
        <v>1577826.210600779</v>
      </c>
      <c r="K6" s="51">
        <f>K30-K88</f>
        <v>-340099.3246411765</v>
      </c>
      <c r="L6" s="51">
        <f>L30-L88</f>
        <v>-759419.3246411764</v>
      </c>
      <c r="M6" s="51">
        <f>M30-M88</f>
        <v>-298419.3246411765</v>
      </c>
      <c r="N6" s="51">
        <f>N30-N88</f>
        <v>-365419.3246411765</v>
      </c>
      <c r="O6" s="51">
        <f>O30-O88</f>
        <v>2179025.009734514</v>
      </c>
      <c r="P6" s="51">
        <f>P30-P88</f>
        <v>1577826.210600779</v>
      </c>
      <c r="Q6" s="51">
        <f>Q30-Q88</f>
        <v>-340099.3246411765</v>
      </c>
      <c r="R6" s="51">
        <f>R30-R88</f>
        <v>-759419.3246411764</v>
      </c>
      <c r="S6" s="51">
        <f>S30-S88</f>
        <v>-298419.3246411765</v>
      </c>
      <c r="T6" s="51">
        <f>T30-T88</f>
        <v>-365419.3246411765</v>
      </c>
      <c r="U6" s="51">
        <f>U30-U88</f>
        <v>2179025.009734514</v>
      </c>
      <c r="V6" s="51">
        <f>V30-V88</f>
        <v>1577826.210600779</v>
      </c>
      <c r="W6" s="51">
        <f>W30-W88</f>
        <v>-340099.3246411765</v>
      </c>
      <c r="X6" s="51">
        <f>X30-X88</f>
        <v>-759419.3246411764</v>
      </c>
      <c r="Y6" s="51">
        <f>Y30-Y88</f>
        <v>-298419.3246411765</v>
      </c>
      <c r="Z6" s="51">
        <f>SUMIF($B$13:$Y$13,"Yes",B6:Y6)</f>
        <v>3621568.518899999</v>
      </c>
      <c r="AA6" s="51">
        <f>AA30-AA88</f>
        <v>3986987.843541177</v>
      </c>
      <c r="AB6" s="51">
        <f>AB30-AB88</f>
        <v>7973975.687082358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24732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9876</v>
      </c>
      <c r="J7" s="80">
        <f>IF(ISERROR(VLOOKUP(MONTH(J5),Inputs!$D$66:$D$71,1,0)),"",INDEX(Inputs!$B$66:$B$71,MATCH(MONTH(Output!J5),Inputs!$D$66:$D$71,0))-INDEX(Inputs!$C$66:$C$71,MATCH(MONTH(Output!J5),Inputs!$D$66:$D$71,0)))</f>
        <v>14350</v>
      </c>
      <c r="K7" s="80">
        <f>IF(ISERROR(VLOOKUP(MONTH(K5),Inputs!$D$66:$D$71,1,0)),"",INDEX(Inputs!$B$66:$B$71,MATCH(MONTH(Output!K5),Inputs!$D$66:$D$71,0))-INDEX(Inputs!$C$66:$C$71,MATCH(MONTH(Output!K5),Inputs!$D$66:$D$71,0)))</f>
        <v>12341</v>
      </c>
      <c r="L7" s="80">
        <f>IF(ISERROR(VLOOKUP(MONTH(L5),Inputs!$D$66:$D$71,1,0)),"",INDEX(Inputs!$B$66:$B$71,MATCH(MONTH(Output!L5),Inputs!$D$66:$D$71,0))-INDEX(Inputs!$C$66:$C$71,MATCH(MONTH(Output!L5),Inputs!$D$66:$D$71,0)))</f>
        <v>13430</v>
      </c>
      <c r="M7" s="80">
        <f>IF(ISERROR(VLOOKUP(MONTH(M5),Inputs!$D$66:$D$71,1,0)),"",INDEX(Inputs!$B$66:$B$71,MATCH(MONTH(Output!M5),Inputs!$D$66:$D$71,0))-INDEX(Inputs!$C$66:$C$71,MATCH(MONTH(Output!M5),Inputs!$D$66:$D$71,0)))</f>
        <v>11997</v>
      </c>
      <c r="N7" s="80">
        <f>IF(ISERROR(VLOOKUP(MONTH(N5),Inputs!$D$66:$D$71,1,0)),"",INDEX(Inputs!$B$66:$B$71,MATCH(MONTH(Output!N5),Inputs!$D$66:$D$71,0))-INDEX(Inputs!$C$66:$C$71,MATCH(MONTH(Output!N5),Inputs!$D$66:$D$71,0)))</f>
        <v>24732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9876</v>
      </c>
      <c r="V7" s="80">
        <f>IF(ISERROR(VLOOKUP(MONTH(V5),Inputs!$D$66:$D$71,1,0)),"",INDEX(Inputs!$B$66:$B$71,MATCH(MONTH(Output!V5),Inputs!$D$66:$D$71,0))-INDEX(Inputs!$C$66:$C$71,MATCH(MONTH(Output!V5),Inputs!$D$66:$D$71,0)))</f>
        <v>14350</v>
      </c>
      <c r="W7" s="80">
        <f>IF(ISERROR(VLOOKUP(MONTH(W5),Inputs!$D$66:$D$71,1,0)),"",INDEX(Inputs!$B$66:$B$71,MATCH(MONTH(Output!W5),Inputs!$D$66:$D$71,0))-INDEX(Inputs!$C$66:$C$71,MATCH(MONTH(Output!W5),Inputs!$D$66:$D$71,0)))</f>
        <v>12341</v>
      </c>
      <c r="X7" s="80">
        <f>IF(ISERROR(VLOOKUP(MONTH(X5),Inputs!$D$66:$D$71,1,0)),"",INDEX(Inputs!$B$66:$B$71,MATCH(MONTH(Output!X5),Inputs!$D$66:$D$71,0))-INDEX(Inputs!$C$66:$C$71,MATCH(MONTH(Output!X5),Inputs!$D$66:$D$71,0)))</f>
        <v>13430</v>
      </c>
      <c r="Y7" s="80">
        <f>IF(ISERROR(VLOOKUP(MONTH(Y5),Inputs!$D$66:$D$71,1,0)),"",INDEX(Inputs!$B$66:$B$71,MATCH(MONTH(Output!Y5),Inputs!$D$66:$D$71,0))-INDEX(Inputs!$C$66:$C$71,MATCH(MONTH(Output!Y5),Inputs!$D$66:$D$71,0)))</f>
        <v>11997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9833.333333333334</v>
      </c>
      <c r="D10" s="37">
        <f>SUMPRODUCT((Calculations!$D$33:$D$84=Output!D5)+0,Calculations!$C$33:$C$84)</f>
        <v>9833.333333333334</v>
      </c>
      <c r="E10" s="37">
        <f>SUMPRODUCT((Calculations!$D$33:$D$84=Output!E5)+0,Calculations!$C$33:$C$84)</f>
        <v>9833.333333333334</v>
      </c>
      <c r="F10" s="37">
        <f>SUMPRODUCT((Calculations!$D$33:$D$84=Output!F5)+0,Calculations!$C$33:$C$84)</f>
        <v>9833.333333333334</v>
      </c>
      <c r="G10" s="37">
        <f>SUMPRODUCT((Calculations!$D$33:$D$84=Output!G5)+0,Calculations!$C$33:$C$84)</f>
        <v>9833.333333333334</v>
      </c>
      <c r="H10" s="37">
        <f>SUMPRODUCT((Calculations!$D$33:$D$84=Output!H5)+0,Calculations!$C$33:$C$84)</f>
        <v>9833.333333333334</v>
      </c>
      <c r="I10" s="37">
        <f>SUMPRODUCT((Calculations!$D$33:$D$84=Output!I5)+0,Calculations!$C$33:$C$84)</f>
        <v>9833.333333333334</v>
      </c>
      <c r="J10" s="37">
        <f>SUMPRODUCT((Calculations!$D$33:$D$84=Output!J5)+0,Calculations!$C$33:$C$84)</f>
        <v>9833.333333333334</v>
      </c>
      <c r="K10" s="37">
        <f>SUMPRODUCT((Calculations!$D$33:$D$84=Output!K5)+0,Calculations!$C$33:$C$84)</f>
        <v>9833.333333333334</v>
      </c>
      <c r="L10" s="37">
        <f>SUMPRODUCT((Calculations!$D$33:$D$84=Output!L5)+0,Calculations!$C$33:$C$84)</f>
        <v>9833.333333333334</v>
      </c>
      <c r="M10" s="37">
        <f>SUMPRODUCT((Calculations!$D$33:$D$84=Output!M5)+0,Calculations!$C$33:$C$84)</f>
        <v>9833.333333333334</v>
      </c>
      <c r="N10" s="37">
        <f>SUMPRODUCT((Calculations!$D$33:$D$84=Output!N5)+0,Calculations!$C$33:$C$84)</f>
        <v>9833.333333333334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108166.6666666667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-265419.3246411765</v>
      </c>
      <c r="C11" s="80">
        <f>C6+C9-C10</f>
        <v>2169191.676401181</v>
      </c>
      <c r="D11" s="80">
        <f>D6+D9-D10</f>
        <v>1567992.877267446</v>
      </c>
      <c r="E11" s="80">
        <f>E6+E9-E10</f>
        <v>-349932.6579745098</v>
      </c>
      <c r="F11" s="80">
        <f>F6+F9-F10</f>
        <v>-769252.6579745098</v>
      </c>
      <c r="G11" s="80">
        <f>G6+G9-G10</f>
        <v>-308252.6579745098</v>
      </c>
      <c r="H11" s="80">
        <f>H6+H9-H10</f>
        <v>-375252.6579745098</v>
      </c>
      <c r="I11" s="80">
        <f>I6+I9-I10</f>
        <v>2169191.676401181</v>
      </c>
      <c r="J11" s="80">
        <f>J6+J9-J10</f>
        <v>1567992.877267446</v>
      </c>
      <c r="K11" s="80">
        <f>K6+K9-K10</f>
        <v>-349932.6579745098</v>
      </c>
      <c r="L11" s="80">
        <f>L6+L9-L10</f>
        <v>-769252.6579745098</v>
      </c>
      <c r="M11" s="80">
        <f>M6+M9-M10</f>
        <v>-308252.6579745098</v>
      </c>
      <c r="N11" s="80">
        <f>N6+N9-N10</f>
        <v>-375252.6579745098</v>
      </c>
      <c r="O11" s="80">
        <f>O6+O9-O10</f>
        <v>2179025.009734514</v>
      </c>
      <c r="P11" s="80">
        <f>P6+P9-P10</f>
        <v>1577826.210600779</v>
      </c>
      <c r="Q11" s="80">
        <f>Q6+Q9-Q10</f>
        <v>-340099.3246411765</v>
      </c>
      <c r="R11" s="80">
        <f>R6+R9-R10</f>
        <v>-759419.3246411764</v>
      </c>
      <c r="S11" s="80">
        <f>S6+S9-S10</f>
        <v>-298419.3246411765</v>
      </c>
      <c r="T11" s="80">
        <f>T6+T9-T10</f>
        <v>-365419.3246411765</v>
      </c>
      <c r="U11" s="80">
        <f>U6+U9-U10</f>
        <v>2179025.009734514</v>
      </c>
      <c r="V11" s="80">
        <f>V6+V9-V10</f>
        <v>1577826.210600779</v>
      </c>
      <c r="W11" s="80">
        <f>W6+W9-W10</f>
        <v>-340099.3246411765</v>
      </c>
      <c r="X11" s="80">
        <f>X6+X9-X10</f>
        <v>-759419.3246411764</v>
      </c>
      <c r="Y11" s="80">
        <f>Y6+Y9-Y10</f>
        <v>-298419.3246411765</v>
      </c>
      <c r="Z11" s="85">
        <f>SUMIF($B$13:$Y$13,"Yes",B11:Y11)</f>
        <v>3603568.518899999</v>
      </c>
      <c r="AA11" s="80">
        <f>SUM(B11:M11)</f>
        <v>3978821.176874509</v>
      </c>
      <c r="AB11" s="46">
        <f>SUM(B11:Y11)</f>
        <v>7955975.687082352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0.005138641366888344</v>
      </c>
      <c r="D12" s="82">
        <f>IF(D13="Yes",IF(SUM($B$10:D10)/(SUM($B$6:D6)+SUM($B$9:D9))&lt;0,999.99,SUM($B$10:D10)/(SUM($B$6:D6)+SUM($B$9:D9))),"")</f>
        <v>0.005632836971822651</v>
      </c>
      <c r="E12" s="82">
        <f>IF(E13="Yes",IF(SUM($B$10:E10)/(SUM($B$6:E6)+SUM($B$9:E9))&lt;0,999.99,SUM($B$10:E10)/(SUM($B$6:E6)+SUM($B$9:E9))),"")</f>
        <v>0.009361119251892636</v>
      </c>
      <c r="F12" s="82">
        <f>IF(F13="Yes",IF(SUM($B$10:F10)/(SUM($B$6:F6)+SUM($B$9:F9))&lt;0,999.99,SUM($B$10:F10)/(SUM($B$6:F6)+SUM($B$9:F9))),"")</f>
        <v>0.0164442976317554</v>
      </c>
      <c r="G12" s="82">
        <f>IF(G13="Yes",IF(SUM($B$10:G10)/(SUM($B$6:G6)+SUM($B$9:G9))&lt;0,999.99,SUM($B$10:G10)/(SUM($B$6:G6)+SUM($B$9:G9))),"")</f>
        <v>0.02348545947775364</v>
      </c>
      <c r="H12" s="82">
        <f>IF(H13="Yes",IF(SUM($B$10:H10)/(SUM($B$6:H6)+SUM($B$9:H9))&lt;0,999.99,SUM($B$10:H10)/(SUM($B$6:H6)+SUM($B$9:H9))),"")</f>
        <v>0.03414204461891158</v>
      </c>
      <c r="I12" s="82">
        <f>IF(I13="Yes",IF(SUM($B$10:I10)/(SUM($B$6:I6)+SUM($B$9:I9))&lt;0,999.99,SUM($B$10:I10)/(SUM($B$6:I6)+SUM($B$9:I9))),"")</f>
        <v>0.01761750153807395</v>
      </c>
      <c r="J12" s="82">
        <f>IF(J13="Yes",IF(SUM($B$10:J10)/(SUM($B$6:J6)+SUM($B$9:J9))&lt;0,999.99,SUM($B$10:J10)/(SUM($B$6:J6)+SUM($B$9:J9))),"")</f>
        <v>0.01434233921928022</v>
      </c>
      <c r="K12" s="82">
        <f>IF(K13="Yes",IF(SUM($B$10:K10)/(SUM($B$6:K6)+SUM($B$9:K9))&lt;0,999.99,SUM($B$10:K10)/(SUM($B$6:K6)+SUM($B$9:K9))),"")</f>
        <v>0.01720174628307638</v>
      </c>
      <c r="L12" s="82">
        <f>IF(L13="Yes",IF(SUM($B$10:L10)/(SUM($B$6:L6)+SUM($B$9:L9))&lt;0,999.99,SUM($B$10:L10)/(SUM($B$6:L6)+SUM($B$9:L9))),"")</f>
        <v>0.02242285141657444</v>
      </c>
      <c r="M12" s="82">
        <f>IF(M13="Yes",IF(SUM($B$10:M10)/(SUM($B$6:M6)+SUM($B$9:M9))&lt;0,999.99,SUM($B$10:M10)/(SUM($B$6:M6)+SUM($B$9:M9))),"")</f>
        <v>0.02646610922457394</v>
      </c>
      <c r="N12" s="82">
        <f>IF(N13="Yes",IF(SUM($B$10:N10)/(SUM($B$6:N6)+SUM($B$9:N9))&lt;0,999.99,SUM($B$10:N10)/(SUM($B$6:N6)+SUM($B$9:N9))),"")</f>
        <v>0.03170706098805828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1821145.535241956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1821145.535241956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1821145.535241956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1821145.535241956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3642291.070483912</v>
      </c>
      <c r="AA18" s="36">
        <f>SUM(B18:M18)</f>
        <v>3642291.070483912</v>
      </c>
      <c r="AB18" s="36">
        <f>SUM(B18:Y18)</f>
        <v>7284582.140967824</v>
      </c>
      <c r="AC18" s="43"/>
      <c r="AD18" s="43"/>
    </row>
    <row r="19" spans="1:30">
      <c r="A19" t="str">
        <f>IF(Calculations!A5&lt;&gt;Parameters!$A$18,IF(Calculations!A5=0,"",Calculations!A5),Inputs!B8)</f>
        <v>Carrots</v>
      </c>
      <c r="B19" s="36">
        <f>N19</f>
        <v>0</v>
      </c>
      <c r="C19" s="36">
        <f>O19</f>
        <v>2458444.334375691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2458444.334375691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2458444.334375691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2458444.334375691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4916888.668751381</v>
      </c>
      <c r="AA19" s="36">
        <f>SUM(B19:M19)</f>
        <v>4916888.668751381</v>
      </c>
      <c r="AB19" s="36">
        <f>SUM(B19:Y19)</f>
        <v>9833777.337502763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51000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15625</v>
      </c>
      <c r="C24" s="36">
        <f>IFERROR(Calculations!$P14/12,"")</f>
        <v>15625</v>
      </c>
      <c r="D24" s="36">
        <f>IFERROR(Calculations!$P14/12,"")</f>
        <v>15625</v>
      </c>
      <c r="E24" s="36">
        <f>IFERROR(Calculations!$P14/12,"")</f>
        <v>15625</v>
      </c>
      <c r="F24" s="36">
        <f>IFERROR(Calculations!$P14/12,"")</f>
        <v>15625</v>
      </c>
      <c r="G24" s="36">
        <f>IFERROR(Calculations!$P14/12,"")</f>
        <v>15625</v>
      </c>
      <c r="H24" s="36">
        <f>IFERROR(Calculations!$P14/12,"")</f>
        <v>15625</v>
      </c>
      <c r="I24" s="36">
        <f>IFERROR(Calculations!$P14/12,"")</f>
        <v>15625</v>
      </c>
      <c r="J24" s="36">
        <f>IFERROR(Calculations!$P14/12,"")</f>
        <v>15625</v>
      </c>
      <c r="K24" s="36">
        <f>IFERROR(Calculations!$P14/12,"")</f>
        <v>15625</v>
      </c>
      <c r="L24" s="36">
        <f>IFERROR(Calculations!$P14/12,"")</f>
        <v>15625</v>
      </c>
      <c r="M24" s="36">
        <f>IFERROR(Calculations!$P14/12,"")</f>
        <v>15625</v>
      </c>
      <c r="N24" s="36">
        <f>IFERROR(Calculations!$P14/12,"")</f>
        <v>15625</v>
      </c>
      <c r="O24" s="36">
        <f>IFERROR(Calculations!$P14/12,"")</f>
        <v>15625</v>
      </c>
      <c r="P24" s="36">
        <f>IFERROR(Calculations!$P14/12,"")</f>
        <v>15625</v>
      </c>
      <c r="Q24" s="36">
        <f>IFERROR(Calculations!$P14/12,"")</f>
        <v>15625</v>
      </c>
      <c r="R24" s="36">
        <f>IFERROR(Calculations!$P14/12,"")</f>
        <v>15625</v>
      </c>
      <c r="S24" s="36">
        <f>IFERROR(Calculations!$P14/12,"")</f>
        <v>15625</v>
      </c>
      <c r="T24" s="36">
        <f>IFERROR(Calculations!$P14/12,"")</f>
        <v>15625</v>
      </c>
      <c r="U24" s="36">
        <f>IFERROR(Calculations!$P14/12,"")</f>
        <v>15625</v>
      </c>
      <c r="V24" s="36">
        <f>IFERROR(Calculations!$P14/12,"")</f>
        <v>15625</v>
      </c>
      <c r="W24" s="36">
        <f>IFERROR(Calculations!$P14/12,"")</f>
        <v>15625</v>
      </c>
      <c r="X24" s="36">
        <f>IFERROR(Calculations!$P14/12,"")</f>
        <v>15625</v>
      </c>
      <c r="Y24" s="36">
        <f>IFERROR(Calculations!$P14/12,"")</f>
        <v>15625</v>
      </c>
      <c r="Z24" s="36">
        <f>SUMIF($B$13:$Y$13,"Yes",B24:Y24)</f>
        <v>203125</v>
      </c>
      <c r="AA24" s="36">
        <f>SUM(B24:M24)</f>
        <v>187500</v>
      </c>
      <c r="AB24" s="46">
        <f>SUM(B24:Y24)</f>
        <v>375000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9583.333333333334</v>
      </c>
      <c r="C25" s="36">
        <f>IFERROR(Calculations!$P15/12,"")</f>
        <v>9583.333333333334</v>
      </c>
      <c r="D25" s="36">
        <f>IFERROR(Calculations!$P15/12,"")</f>
        <v>9583.333333333334</v>
      </c>
      <c r="E25" s="36">
        <f>IFERROR(Calculations!$P15/12,"")</f>
        <v>9583.333333333334</v>
      </c>
      <c r="F25" s="36">
        <f>IFERROR(Calculations!$P15/12,"")</f>
        <v>9583.333333333334</v>
      </c>
      <c r="G25" s="36">
        <f>IFERROR(Calculations!$P15/12,"")</f>
        <v>9583.333333333334</v>
      </c>
      <c r="H25" s="36">
        <f>IFERROR(Calculations!$P15/12,"")</f>
        <v>9583.333333333334</v>
      </c>
      <c r="I25" s="36">
        <f>IFERROR(Calculations!$P15/12,"")</f>
        <v>9583.333333333334</v>
      </c>
      <c r="J25" s="36">
        <f>IFERROR(Calculations!$P15/12,"")</f>
        <v>9583.333333333334</v>
      </c>
      <c r="K25" s="36">
        <f>IFERROR(Calculations!$P15/12,"")</f>
        <v>9583.333333333334</v>
      </c>
      <c r="L25" s="36">
        <f>IFERROR(Calculations!$P15/12,"")</f>
        <v>9583.333333333334</v>
      </c>
      <c r="M25" s="36">
        <f>IFERROR(Calculations!$P15/12,"")</f>
        <v>9583.333333333334</v>
      </c>
      <c r="N25" s="36">
        <f>IFERROR(Calculations!$P15/12,"")</f>
        <v>9583.333333333334</v>
      </c>
      <c r="O25" s="36">
        <f>IFERROR(Calculations!$P15/12,"")</f>
        <v>9583.333333333334</v>
      </c>
      <c r="P25" s="36">
        <f>IFERROR(Calculations!$P15/12,"")</f>
        <v>9583.333333333334</v>
      </c>
      <c r="Q25" s="36">
        <f>IFERROR(Calculations!$P15/12,"")</f>
        <v>9583.333333333334</v>
      </c>
      <c r="R25" s="36">
        <f>IFERROR(Calculations!$P15/12,"")</f>
        <v>9583.333333333334</v>
      </c>
      <c r="S25" s="36">
        <f>IFERROR(Calculations!$P15/12,"")</f>
        <v>9583.333333333334</v>
      </c>
      <c r="T25" s="36">
        <f>IFERROR(Calculations!$P15/12,"")</f>
        <v>9583.333333333334</v>
      </c>
      <c r="U25" s="36">
        <f>IFERROR(Calculations!$P15/12,"")</f>
        <v>9583.333333333334</v>
      </c>
      <c r="V25" s="36">
        <f>IFERROR(Calculations!$P15/12,"")</f>
        <v>9583.333333333334</v>
      </c>
      <c r="W25" s="36">
        <f>IFERROR(Calculations!$P15/12,"")</f>
        <v>9583.333333333334</v>
      </c>
      <c r="X25" s="36">
        <f>IFERROR(Calculations!$P15/12,"")</f>
        <v>9583.333333333334</v>
      </c>
      <c r="Y25" s="36">
        <f>IFERROR(Calculations!$P15/12,"")</f>
        <v>9583.333333333334</v>
      </c>
      <c r="Z25" s="36">
        <f>SUMIF($B$13:$Y$13,"Yes",B25:Y25)</f>
        <v>124583.3333333333</v>
      </c>
      <c r="AA25" s="36">
        <f>SUM(B25:M25)</f>
        <v>115000</v>
      </c>
      <c r="AB25" s="46">
        <f>SUM(B25:Y25)</f>
        <v>230000.0000000001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25208.33333333334</v>
      </c>
      <c r="C30" s="19">
        <f>SUM(C18:C29)</f>
        <v>2483652.667709024</v>
      </c>
      <c r="D30" s="19">
        <f>SUM(D18:D29)</f>
        <v>1846353.868575289</v>
      </c>
      <c r="E30" s="19">
        <f>SUM(E18:E29)</f>
        <v>25208.33333333334</v>
      </c>
      <c r="F30" s="19">
        <f>SUM(F18:F29)</f>
        <v>25208.33333333334</v>
      </c>
      <c r="G30" s="19">
        <f>SUM(G18:G29)</f>
        <v>25208.33333333334</v>
      </c>
      <c r="H30" s="19">
        <f>SUM(H18:H29)</f>
        <v>25208.33333333334</v>
      </c>
      <c r="I30" s="19">
        <f>SUM(I18:I29)</f>
        <v>2483652.667709024</v>
      </c>
      <c r="J30" s="19">
        <f>SUM(J18:J29)</f>
        <v>1846353.868575289</v>
      </c>
      <c r="K30" s="19">
        <f>SUM(K18:K29)</f>
        <v>25208.33333333334</v>
      </c>
      <c r="L30" s="19">
        <f>SUM(L18:L29)</f>
        <v>25208.33333333334</v>
      </c>
      <c r="M30" s="19">
        <f>SUM(M18:M29)</f>
        <v>25208.33333333334</v>
      </c>
      <c r="N30" s="19">
        <f>SUM(N18:N29)</f>
        <v>25208.33333333334</v>
      </c>
      <c r="O30" s="19">
        <f>SUM(O18:O29)</f>
        <v>2483652.667709024</v>
      </c>
      <c r="P30" s="19">
        <f>SUM(P18:P29)</f>
        <v>1846353.868575289</v>
      </c>
      <c r="Q30" s="19">
        <f>SUM(Q18:Q29)</f>
        <v>25208.33333333334</v>
      </c>
      <c r="R30" s="19">
        <f>SUM(R18:R29)</f>
        <v>25208.33333333334</v>
      </c>
      <c r="S30" s="19">
        <f>SUM(S18:S29)</f>
        <v>25208.33333333334</v>
      </c>
      <c r="T30" s="19">
        <f>SUM(T18:T29)</f>
        <v>25208.33333333334</v>
      </c>
      <c r="U30" s="19">
        <f>SUM(U18:U29)</f>
        <v>2483652.667709024</v>
      </c>
      <c r="V30" s="19">
        <f>SUM(V18:V29)</f>
        <v>1846353.868575289</v>
      </c>
      <c r="W30" s="19">
        <f>SUM(W18:W29)</f>
        <v>25208.33333333334</v>
      </c>
      <c r="X30" s="19">
        <f>SUM(X18:X29)</f>
        <v>25208.33333333334</v>
      </c>
      <c r="Y30" s="19">
        <f>SUM(Y18:Y29)</f>
        <v>25208.33333333334</v>
      </c>
      <c r="Z30" s="19">
        <f>SUMIF($B$13:$Y$13,"Yes",B30:Y30)</f>
        <v>8886888.072568629</v>
      </c>
      <c r="AA30" s="19">
        <f>SUM(B30:M30)</f>
        <v>8861679.739235295</v>
      </c>
      <c r="AB30" s="19">
        <f>SUM(B30:Y30)</f>
        <v>17723359.47847059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Carrots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104000</v>
      </c>
      <c r="F42" s="36">
        <f>R42</f>
        <v>480000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104000</v>
      </c>
      <c r="L42" s="36">
        <f>X42</f>
        <v>480000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104000</v>
      </c>
      <c r="R42" s="36">
        <f>SUM(R43:R47)</f>
        <v>480000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104000</v>
      </c>
      <c r="X42" s="36">
        <f>SUM(X43:X47)</f>
        <v>480000</v>
      </c>
      <c r="Y42" s="36">
        <f>SUM(Y43:Y47)</f>
        <v>0</v>
      </c>
      <c r="Z42" s="36">
        <f>SUMIF($B$13:$Y$13,"Yes",B42:Y42)</f>
        <v>1168000</v>
      </c>
      <c r="AA42" s="36">
        <f>SUM(B42:M42)</f>
        <v>1168000</v>
      </c>
      <c r="AB42" s="36">
        <f>SUM(B42:Y42)</f>
        <v>2336000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480000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480000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480000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480000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960000</v>
      </c>
      <c r="AA43" s="36">
        <f>SUM(B43:M43)</f>
        <v>960000</v>
      </c>
      <c r="AB43" s="36">
        <f>SUM(B43:Y43)</f>
        <v>1920000</v>
      </c>
    </row>
    <row r="44" spans="1:30" hidden="true" outlineLevel="1">
      <c r="A44" s="181" t="str">
        <f>Calculations!$A$5</f>
        <v>Carrots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104000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104000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104000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104000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208000</v>
      </c>
      <c r="AA44" s="36">
        <f>SUM(B44:M44)</f>
        <v>208000</v>
      </c>
      <c r="AB44" s="36">
        <f>SUM(B44:Y44)</f>
        <v>416000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86000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19000</v>
      </c>
      <c r="H48" s="36">
        <f>T48</f>
        <v>86000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19000</v>
      </c>
      <c r="N48" s="46">
        <f>SUM(N49:N53)</f>
        <v>86000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19000</v>
      </c>
      <c r="T48" s="46">
        <f>SUM(T49:T53)</f>
        <v>86000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19000</v>
      </c>
      <c r="Z48" s="46">
        <f>SUMIF($B$13:$Y$13,"Yes",B48:Y48)</f>
        <v>296000</v>
      </c>
      <c r="AA48" s="46">
        <f>SUM(B48:M48)</f>
        <v>210000</v>
      </c>
      <c r="AB48" s="46">
        <f>SUM(B48:Y48)</f>
        <v>420000</v>
      </c>
    </row>
    <row r="49" spans="1:30" hidden="true" outlineLevel="1">
      <c r="A49" s="181" t="str">
        <f>Calculations!$A$4</f>
        <v>Potatoes</v>
      </c>
      <c r="B49" s="36">
        <f>N49</f>
        <v>86000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86000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86000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86000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258000</v>
      </c>
      <c r="AA49" s="46">
        <f>SUM(B49:M49)</f>
        <v>172000</v>
      </c>
      <c r="AB49" s="46">
        <f>SUM(B49:Y49)</f>
        <v>344000</v>
      </c>
    </row>
    <row r="50" spans="1:30" hidden="true" outlineLevel="1">
      <c r="A50" s="181" t="str">
        <f>Calculations!$A$5</f>
        <v>Carrots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19000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19000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19000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19000</v>
      </c>
      <c r="Z50" s="46">
        <f>SUMIF($B$13:$Y$13,"Yes",B50:Y50)</f>
        <v>38000</v>
      </c>
      <c r="AA50" s="46">
        <f>SUM(B50:M50)</f>
        <v>38000</v>
      </c>
      <c r="AB50" s="46">
        <f>SUM(B50:Y50)</f>
        <v>76000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Carrots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Carrots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79420</v>
      </c>
      <c r="C66" s="36">
        <f>O66</f>
        <v>79420</v>
      </c>
      <c r="D66" s="36">
        <f>P66</f>
        <v>43320</v>
      </c>
      <c r="E66" s="36">
        <f>Q66</f>
        <v>36100</v>
      </c>
      <c r="F66" s="36">
        <f>R66</f>
        <v>79420</v>
      </c>
      <c r="G66" s="36">
        <f>S66</f>
        <v>79420</v>
      </c>
      <c r="H66" s="36">
        <f>T66</f>
        <v>79420</v>
      </c>
      <c r="I66" s="36">
        <f>U66</f>
        <v>79420</v>
      </c>
      <c r="J66" s="36">
        <f>V66</f>
        <v>43320</v>
      </c>
      <c r="K66" s="36">
        <f>W66</f>
        <v>36100</v>
      </c>
      <c r="L66" s="36">
        <f>X66</f>
        <v>79420</v>
      </c>
      <c r="M66" s="36">
        <f>Y66</f>
        <v>79420</v>
      </c>
      <c r="N66" s="46">
        <f>SUM(N67:N71)</f>
        <v>79420</v>
      </c>
      <c r="O66" s="46">
        <f>SUM(O67:O71)</f>
        <v>79420</v>
      </c>
      <c r="P66" s="46">
        <f>SUM(P67:P71)</f>
        <v>43320</v>
      </c>
      <c r="Q66" s="46">
        <f>SUM(Q67:Q71)</f>
        <v>36100</v>
      </c>
      <c r="R66" s="46">
        <f>SUM(R67:R71)</f>
        <v>79420</v>
      </c>
      <c r="S66" s="46">
        <f>SUM(S67:S71)</f>
        <v>79420</v>
      </c>
      <c r="T66" s="46">
        <f>SUM(T67:T71)</f>
        <v>79420</v>
      </c>
      <c r="U66" s="46">
        <f>SUM(U67:U71)</f>
        <v>79420</v>
      </c>
      <c r="V66" s="46">
        <f>SUM(V67:V71)</f>
        <v>43320</v>
      </c>
      <c r="W66" s="46">
        <f>SUM(W67:W71)</f>
        <v>36100</v>
      </c>
      <c r="X66" s="46">
        <f>SUM(X67:X71)</f>
        <v>79420</v>
      </c>
      <c r="Y66" s="46">
        <f>SUM(Y67:Y71)</f>
        <v>79420</v>
      </c>
      <c r="Z66" s="46">
        <f>SUMIF($B$13:$Y$13,"Yes",B66:Y66)</f>
        <v>873620</v>
      </c>
      <c r="AA66" s="46">
        <f>SUM(B66:M66)</f>
        <v>794200</v>
      </c>
      <c r="AB66" s="46">
        <f>SUM(B66:Y66)</f>
        <v>1588400</v>
      </c>
    </row>
    <row r="67" spans="1:30" hidden="true" outlineLevel="1">
      <c r="A67" s="181" t="str">
        <f>Calculations!$A$4</f>
        <v>Potatoes</v>
      </c>
      <c r="B67" s="36">
        <f>N67</f>
        <v>43320</v>
      </c>
      <c r="C67" s="36">
        <f>O67</f>
        <v>43320</v>
      </c>
      <c r="D67" s="36">
        <f>P67</f>
        <v>43320</v>
      </c>
      <c r="E67" s="36">
        <f>Q67</f>
        <v>0</v>
      </c>
      <c r="F67" s="36">
        <f>R67</f>
        <v>43320</v>
      </c>
      <c r="G67" s="36">
        <f>S67</f>
        <v>43320</v>
      </c>
      <c r="H67" s="36">
        <f>T67</f>
        <v>43320</v>
      </c>
      <c r="I67" s="36">
        <f>U67</f>
        <v>43320</v>
      </c>
      <c r="J67" s="36">
        <f>V67</f>
        <v>43320</v>
      </c>
      <c r="K67" s="36">
        <f>W67</f>
        <v>0</v>
      </c>
      <c r="L67" s="36">
        <f>X67</f>
        <v>43320</v>
      </c>
      <c r="M67" s="36">
        <f>Y67</f>
        <v>43320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43320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43320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43320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43320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43320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43320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43320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43320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43320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43320</v>
      </c>
      <c r="Z67" s="46">
        <f>SUMIF($B$13:$Y$13,"Yes",B67:Y67)</f>
        <v>476520</v>
      </c>
      <c r="AA67" s="46">
        <f>SUM(B67:M67)</f>
        <v>433200</v>
      </c>
      <c r="AB67" s="46">
        <f>SUM(B67:Y67)</f>
        <v>866400</v>
      </c>
    </row>
    <row r="68" spans="1:30" hidden="true" outlineLevel="1">
      <c r="A68" s="181" t="str">
        <f>Calculations!$A$5</f>
        <v>Carrots</v>
      </c>
      <c r="B68" s="36">
        <f>N68</f>
        <v>36100</v>
      </c>
      <c r="C68" s="36">
        <f>O68</f>
        <v>36100</v>
      </c>
      <c r="D68" s="36">
        <f>P68</f>
        <v>0</v>
      </c>
      <c r="E68" s="36">
        <f>Q68</f>
        <v>36100</v>
      </c>
      <c r="F68" s="36">
        <f>R68</f>
        <v>36100</v>
      </c>
      <c r="G68" s="36">
        <f>S68</f>
        <v>36100</v>
      </c>
      <c r="H68" s="36">
        <f>T68</f>
        <v>36100</v>
      </c>
      <c r="I68" s="36">
        <f>U68</f>
        <v>36100</v>
      </c>
      <c r="J68" s="36">
        <f>V68</f>
        <v>0</v>
      </c>
      <c r="K68" s="36">
        <f>W68</f>
        <v>36100</v>
      </c>
      <c r="L68" s="36">
        <f>X68</f>
        <v>36100</v>
      </c>
      <c r="M68" s="36">
        <f>Y68</f>
        <v>36100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36100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36100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36100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36100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36100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36100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36100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36100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36100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36100</v>
      </c>
      <c r="Z68" s="46">
        <f>SUMIF($B$13:$Y$13,"Yes",B68:Y68)</f>
        <v>397100</v>
      </c>
      <c r="AA68" s="46">
        <f>SUM(B68:M68)</f>
        <v>361000</v>
      </c>
      <c r="AB68" s="46">
        <f>SUM(B68:Y68)</f>
        <v>722000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1583.333333333333</v>
      </c>
      <c r="C75" s="46">
        <f>SUM(Calculations!$R$14:$R$16)/12</f>
        <v>1583.333333333333</v>
      </c>
      <c r="D75" s="46">
        <f>SUM(Calculations!$R$14:$R$16)/12</f>
        <v>1583.333333333333</v>
      </c>
      <c r="E75" s="46">
        <f>SUM(Calculations!$R$14:$R$16)/12</f>
        <v>1583.333333333333</v>
      </c>
      <c r="F75" s="46">
        <f>SUM(Calculations!$R$14:$R$16)/12</f>
        <v>1583.333333333333</v>
      </c>
      <c r="G75" s="46">
        <f>SUM(Calculations!$R$14:$R$16)/12</f>
        <v>1583.333333333333</v>
      </c>
      <c r="H75" s="46">
        <f>SUM(Calculations!$R$14:$R$16)/12</f>
        <v>1583.333333333333</v>
      </c>
      <c r="I75" s="46">
        <f>SUM(Calculations!$R$14:$R$16)/12</f>
        <v>1583.333333333333</v>
      </c>
      <c r="J75" s="46">
        <f>SUM(Calculations!$R$14:$R$16)/12</f>
        <v>1583.333333333333</v>
      </c>
      <c r="K75" s="46">
        <f>SUM(Calculations!$R$14:$R$16)/12</f>
        <v>1583.333333333333</v>
      </c>
      <c r="L75" s="46">
        <f>SUM(Calculations!$R$14:$R$16)/12</f>
        <v>1583.333333333333</v>
      </c>
      <c r="M75" s="46">
        <f>SUM(Calculations!$R$14:$R$16)/12</f>
        <v>1583.333333333333</v>
      </c>
      <c r="N75" s="46">
        <f>SUM(Calculations!$R$14:$R$16)/12</f>
        <v>1583.333333333333</v>
      </c>
      <c r="O75" s="46">
        <f>SUM(Calculations!$R$14:$R$16)/12</f>
        <v>1583.333333333333</v>
      </c>
      <c r="P75" s="46">
        <f>SUM(Calculations!$R$14:$R$16)/12</f>
        <v>1583.333333333333</v>
      </c>
      <c r="Q75" s="46">
        <f>SUM(Calculations!$R$14:$R$16)/12</f>
        <v>1583.333333333333</v>
      </c>
      <c r="R75" s="46">
        <f>SUM(Calculations!$R$14:$R$16)/12</f>
        <v>1583.333333333333</v>
      </c>
      <c r="S75" s="46">
        <f>SUM(Calculations!$R$14:$R$16)/12</f>
        <v>1583.333333333333</v>
      </c>
      <c r="T75" s="46">
        <f>SUM(Calculations!$R$14:$R$16)/12</f>
        <v>1583.333333333333</v>
      </c>
      <c r="U75" s="46">
        <f>SUM(Calculations!$R$14:$R$16)/12</f>
        <v>1583.333333333333</v>
      </c>
      <c r="V75" s="46">
        <f>SUM(Calculations!$R$14:$R$16)/12</f>
        <v>1583.333333333333</v>
      </c>
      <c r="W75" s="46">
        <f>SUM(Calculations!$R$14:$R$16)/12</f>
        <v>1583.333333333333</v>
      </c>
      <c r="X75" s="46">
        <f>SUM(Calculations!$R$14:$R$16)/12</f>
        <v>1583.333333333333</v>
      </c>
      <c r="Y75" s="46">
        <f>SUM(Calculations!$R$14:$R$16)/12</f>
        <v>1583.333333333333</v>
      </c>
      <c r="Z75" s="46">
        <f>SUMIF($B$13:$Y$13,"Yes",B75:Y75)</f>
        <v>20583.33333333333</v>
      </c>
      <c r="AA75" s="46">
        <f>SUM(B75:M75)</f>
        <v>19000</v>
      </c>
      <c r="AB75" s="46">
        <f>SUM(B75:Y75)</f>
        <v>38000</v>
      </c>
    </row>
    <row r="76" spans="1:30">
      <c r="A76" s="16" t="s">
        <v>48</v>
      </c>
      <c r="B76" s="46">
        <f>SUM(Calculations!$S$14:$S$16)/12</f>
        <v>2125</v>
      </c>
      <c r="C76" s="46">
        <f>SUM(Calculations!$S$14:$S$16)/12</f>
        <v>2125</v>
      </c>
      <c r="D76" s="46">
        <f>SUM(Calculations!$S$14:$S$16)/12</f>
        <v>2125</v>
      </c>
      <c r="E76" s="46">
        <f>SUM(Calculations!$S$14:$S$16)/12</f>
        <v>2125</v>
      </c>
      <c r="F76" s="46">
        <f>SUM(Calculations!$S$14:$S$16)/12</f>
        <v>2125</v>
      </c>
      <c r="G76" s="46">
        <f>SUM(Calculations!$S$14:$S$16)/12</f>
        <v>2125</v>
      </c>
      <c r="H76" s="46">
        <f>SUM(Calculations!$S$14:$S$16)/12</f>
        <v>2125</v>
      </c>
      <c r="I76" s="46">
        <f>SUM(Calculations!$S$14:$S$16)/12</f>
        <v>2125</v>
      </c>
      <c r="J76" s="46">
        <f>SUM(Calculations!$S$14:$S$16)/12</f>
        <v>2125</v>
      </c>
      <c r="K76" s="46">
        <f>SUM(Calculations!$S$14:$S$16)/12</f>
        <v>2125</v>
      </c>
      <c r="L76" s="46">
        <f>SUM(Calculations!$S$14:$S$16)/12</f>
        <v>2125</v>
      </c>
      <c r="M76" s="46">
        <f>SUM(Calculations!$S$14:$S$16)/12</f>
        <v>2125</v>
      </c>
      <c r="N76" s="46">
        <f>SUM(Calculations!$S$14:$S$16)/12</f>
        <v>2125</v>
      </c>
      <c r="O76" s="46">
        <f>SUM(Calculations!$S$14:$S$16)/12</f>
        <v>2125</v>
      </c>
      <c r="P76" s="46">
        <f>SUM(Calculations!$S$14:$S$16)/12</f>
        <v>2125</v>
      </c>
      <c r="Q76" s="46">
        <f>SUM(Calculations!$S$14:$S$16)/12</f>
        <v>2125</v>
      </c>
      <c r="R76" s="46">
        <f>SUM(Calculations!$S$14:$S$16)/12</f>
        <v>2125</v>
      </c>
      <c r="S76" s="46">
        <f>SUM(Calculations!$S$14:$S$16)/12</f>
        <v>2125</v>
      </c>
      <c r="T76" s="46">
        <f>SUM(Calculations!$S$14:$S$16)/12</f>
        <v>2125</v>
      </c>
      <c r="U76" s="46">
        <f>SUM(Calculations!$S$14:$S$16)/12</f>
        <v>2125</v>
      </c>
      <c r="V76" s="46">
        <f>SUM(Calculations!$S$14:$S$16)/12</f>
        <v>2125</v>
      </c>
      <c r="W76" s="46">
        <f>SUM(Calculations!$S$14:$S$16)/12</f>
        <v>2125</v>
      </c>
      <c r="X76" s="46">
        <f>SUM(Calculations!$S$14:$S$16)/12</f>
        <v>2125</v>
      </c>
      <c r="Y76" s="46">
        <f>SUM(Calculations!$S$14:$S$16)/12</f>
        <v>2125</v>
      </c>
      <c r="Z76" s="46">
        <f>SUMIF($B$13:$Y$13,"Yes",B76:Y76)</f>
        <v>27625</v>
      </c>
      <c r="AA76" s="46">
        <f>SUM(B76:M76)</f>
        <v>25500</v>
      </c>
      <c r="AB76" s="46">
        <f>SUM(B76:Y76)</f>
        <v>51000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221499.3246411765</v>
      </c>
      <c r="C81" s="46">
        <f>(SUM($AA$18:$AA$29)-SUM($AA$36,$AA$42,$AA$48,$AA$54,$AA$60,$AA$66,$AA$72:$AA$79))*Parameters!$B$37/12</f>
        <v>221499.3246411765</v>
      </c>
      <c r="D81" s="46">
        <f>(SUM($AA$18:$AA$29)-SUM($AA$36,$AA$42,$AA$48,$AA$54,$AA$60,$AA$66,$AA$72:$AA$79))*Parameters!$B$37/12</f>
        <v>221499.3246411765</v>
      </c>
      <c r="E81" s="46">
        <f>(SUM($AA$18:$AA$29)-SUM($AA$36,$AA$42,$AA$48,$AA$54,$AA$60,$AA$66,$AA$72:$AA$79))*Parameters!$B$37/12</f>
        <v>221499.3246411765</v>
      </c>
      <c r="F81" s="46">
        <f>(SUM($AA$18:$AA$29)-SUM($AA$36,$AA$42,$AA$48,$AA$54,$AA$60,$AA$66,$AA$72:$AA$79))*Parameters!$B$37/12</f>
        <v>221499.3246411765</v>
      </c>
      <c r="G81" s="46">
        <f>(SUM($AA$18:$AA$29)-SUM($AA$36,$AA$42,$AA$48,$AA$54,$AA$60,$AA$66,$AA$72:$AA$79))*Parameters!$B$37/12</f>
        <v>221499.3246411765</v>
      </c>
      <c r="H81" s="46">
        <f>(SUM($AA$18:$AA$29)-SUM($AA$36,$AA$42,$AA$48,$AA$54,$AA$60,$AA$66,$AA$72:$AA$79))*Parameters!$B$37/12</f>
        <v>221499.3246411765</v>
      </c>
      <c r="I81" s="46">
        <f>(SUM($AA$18:$AA$29)-SUM($AA$36,$AA$42,$AA$48,$AA$54,$AA$60,$AA$66,$AA$72:$AA$79))*Parameters!$B$37/12</f>
        <v>221499.3246411765</v>
      </c>
      <c r="J81" s="46">
        <f>(SUM($AA$18:$AA$29)-SUM($AA$36,$AA$42,$AA$48,$AA$54,$AA$60,$AA$66,$AA$72:$AA$79))*Parameters!$B$37/12</f>
        <v>221499.3246411765</v>
      </c>
      <c r="K81" s="46">
        <f>(SUM($AA$18:$AA$29)-SUM($AA$36,$AA$42,$AA$48,$AA$54,$AA$60,$AA$66,$AA$72:$AA$79))*Parameters!$B$37/12</f>
        <v>221499.3246411765</v>
      </c>
      <c r="L81" s="46">
        <f>(SUM($AA$18:$AA$29)-SUM($AA$36,$AA$42,$AA$48,$AA$54,$AA$60,$AA$66,$AA$72:$AA$79))*Parameters!$B$37/12</f>
        <v>221499.3246411765</v>
      </c>
      <c r="M81" s="46">
        <f>(SUM($AA$18:$AA$29)-SUM($AA$36,$AA$42,$AA$48,$AA$54,$AA$60,$AA$66,$AA$72:$AA$79))*Parameters!$B$37/12</f>
        <v>221499.3246411765</v>
      </c>
      <c r="N81" s="46">
        <f>(SUM($AA$18:$AA$29)-SUM($AA$36,$AA$42,$AA$48,$AA$54,$AA$60,$AA$66,$AA$72:$AA$79))*Parameters!$B$37/12</f>
        <v>221499.3246411765</v>
      </c>
      <c r="O81" s="46">
        <f>(SUM($AA$18:$AA$29)-SUM($AA$36,$AA$42,$AA$48,$AA$54,$AA$60,$AA$66,$AA$72:$AA$79))*Parameters!$B$37/12</f>
        <v>221499.3246411765</v>
      </c>
      <c r="P81" s="46">
        <f>(SUM($AA$18:$AA$29)-SUM($AA$36,$AA$42,$AA$48,$AA$54,$AA$60,$AA$66,$AA$72:$AA$79))*Parameters!$B$37/12</f>
        <v>221499.3246411765</v>
      </c>
      <c r="Q81" s="46">
        <f>(SUM($AA$18:$AA$29)-SUM($AA$36,$AA$42,$AA$48,$AA$54,$AA$60,$AA$66,$AA$72:$AA$79))*Parameters!$B$37/12</f>
        <v>221499.3246411765</v>
      </c>
      <c r="R81" s="46">
        <f>(SUM($AA$18:$AA$29)-SUM($AA$36,$AA$42,$AA$48,$AA$54,$AA$60,$AA$66,$AA$72:$AA$79))*Parameters!$B$37/12</f>
        <v>221499.3246411765</v>
      </c>
      <c r="S81" s="46">
        <f>(SUM($AA$18:$AA$29)-SUM($AA$36,$AA$42,$AA$48,$AA$54,$AA$60,$AA$66,$AA$72:$AA$79))*Parameters!$B$37/12</f>
        <v>221499.3246411765</v>
      </c>
      <c r="T81" s="46">
        <f>(SUM($AA$18:$AA$29)-SUM($AA$36,$AA$42,$AA$48,$AA$54,$AA$60,$AA$66,$AA$72:$AA$79))*Parameters!$B$37/12</f>
        <v>221499.3246411765</v>
      </c>
      <c r="U81" s="46">
        <f>(SUM($AA$18:$AA$29)-SUM($AA$36,$AA$42,$AA$48,$AA$54,$AA$60,$AA$66,$AA$72:$AA$79))*Parameters!$B$37/12</f>
        <v>221499.3246411765</v>
      </c>
      <c r="V81" s="46">
        <f>(SUM($AA$18:$AA$29)-SUM($AA$36,$AA$42,$AA$48,$AA$54,$AA$60,$AA$66,$AA$72:$AA$79))*Parameters!$B$37/12</f>
        <v>221499.3246411765</v>
      </c>
      <c r="W81" s="46">
        <f>(SUM($AA$18:$AA$29)-SUM($AA$36,$AA$42,$AA$48,$AA$54,$AA$60,$AA$66,$AA$72:$AA$79))*Parameters!$B$37/12</f>
        <v>221499.3246411765</v>
      </c>
      <c r="X81" s="46">
        <f>(SUM($AA$18:$AA$29)-SUM($AA$36,$AA$42,$AA$48,$AA$54,$AA$60,$AA$66,$AA$72:$AA$79))*Parameters!$B$37/12</f>
        <v>221499.3246411765</v>
      </c>
      <c r="Y81" s="46">
        <f>(SUM($AA$18:$AA$29)-SUM($AA$36,$AA$42,$AA$48,$AA$54,$AA$60,$AA$66,$AA$72:$AA$79))*Parameters!$B$37/12</f>
        <v>221499.3246411765</v>
      </c>
      <c r="Z81" s="46">
        <f>SUMIF($B$13:$Y$13,"Yes",B81:Y81)</f>
        <v>2879491.220335294</v>
      </c>
      <c r="AA81" s="46">
        <f>SUM(B81:M81)</f>
        <v>2657991.895694118</v>
      </c>
      <c r="AB81" s="46">
        <f>SUM(B81:Y81)</f>
        <v>5315983.791388235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390627.6579745098</v>
      </c>
      <c r="C88" s="19">
        <f>SUM(C72:C82,C66,C60,C54,C48,C42,C36)</f>
        <v>304627.6579745098</v>
      </c>
      <c r="D88" s="19">
        <f>SUM(D72:D82,D66,D60,D54,D48,D42,D36)</f>
        <v>268527.6579745098</v>
      </c>
      <c r="E88" s="19">
        <f>SUM(E72:E82,E66,E60,E54,E48,E42,E36)</f>
        <v>365307.6579745098</v>
      </c>
      <c r="F88" s="19">
        <f>SUM(F72:F82,F66,F60,F54,F48,F42,F36)</f>
        <v>784627.6579745098</v>
      </c>
      <c r="G88" s="19">
        <f>SUM(G72:G82,G66,G60,G54,G48,G42,G36)</f>
        <v>323627.6579745098</v>
      </c>
      <c r="H88" s="19">
        <f>SUM(H72:H82,H66,H60,H54,H48,H42,H36)</f>
        <v>390627.6579745098</v>
      </c>
      <c r="I88" s="19">
        <f>SUM(I72:I82,I66,I60,I54,I48,I42,I36)</f>
        <v>304627.6579745098</v>
      </c>
      <c r="J88" s="19">
        <f>SUM(J72:J82,J66,J60,J54,J48,J42,J36)</f>
        <v>268527.6579745098</v>
      </c>
      <c r="K88" s="19">
        <f>SUM(K72:K82,K66,K60,K54,K48,K42,K36)</f>
        <v>365307.6579745098</v>
      </c>
      <c r="L88" s="19">
        <f>SUM(L72:L82,L66,L60,L54,L48,L42,L36)</f>
        <v>784627.6579745098</v>
      </c>
      <c r="M88" s="19">
        <f>SUM(M72:M82,M66,M60,M54,M48,M42,M36)</f>
        <v>323627.6579745098</v>
      </c>
      <c r="N88" s="19">
        <f>SUM(N72:N82,N66,N60,N54,N48,N42,N36)</f>
        <v>390627.6579745098</v>
      </c>
      <c r="O88" s="19">
        <f>SUM(O72:O82,O66,O60,O54,O48,O42,O36)</f>
        <v>304627.6579745098</v>
      </c>
      <c r="P88" s="19">
        <f>SUM(P72:P82,P66,P60,P54,P48,P42,P36)</f>
        <v>268527.6579745098</v>
      </c>
      <c r="Q88" s="19">
        <f>SUM(Q72:Q82,Q66,Q60,Q54,Q48,Q42,Q36)</f>
        <v>365307.6579745098</v>
      </c>
      <c r="R88" s="19">
        <f>SUM(R72:R82,R66,R60,R54,R48,R42,R36)</f>
        <v>784627.6579745098</v>
      </c>
      <c r="S88" s="19">
        <f>SUM(S72:S82,S66,S60,S54,S48,S42,S36)</f>
        <v>323627.6579745098</v>
      </c>
      <c r="T88" s="19">
        <f>SUM(T72:T82,T66,T60,T54,T48,T42,T36)</f>
        <v>390627.6579745098</v>
      </c>
      <c r="U88" s="19">
        <f>SUM(U72:U82,U66,U60,U54,U48,U42,U36)</f>
        <v>304627.6579745098</v>
      </c>
      <c r="V88" s="19">
        <f>SUM(V72:V82,V66,V60,V54,V48,V42,V36)</f>
        <v>268527.6579745098</v>
      </c>
      <c r="W88" s="19">
        <f>SUM(W72:W82,W66,W60,W54,W48,W42,W36)</f>
        <v>365307.6579745098</v>
      </c>
      <c r="X88" s="19">
        <f>SUM(X72:X82,X66,X60,X54,X48,X42,X36)</f>
        <v>784627.6579745098</v>
      </c>
      <c r="Y88" s="19">
        <f>SUM(Y72:Y82,Y66,Y60,Y54,Y48,Y42,Y36)</f>
        <v>323627.6579745098</v>
      </c>
      <c r="Z88" s="19">
        <f>SUMIF($B$13:$Y$13,"Yes",B88:Y88)</f>
        <v>5265319.553668628</v>
      </c>
      <c r="AA88" s="19">
        <f>SUM(B88:M88)</f>
        <v>4874691.895694118</v>
      </c>
      <c r="AB88" s="19">
        <f>SUM(B88:Y88)</f>
        <v>9749383.791388232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625000</v>
      </c>
    </row>
    <row r="96" spans="1:30">
      <c r="A96" t="s">
        <v>62</v>
      </c>
      <c r="B96" s="36">
        <f>SUMPRODUCT(Inputs!C19:C21,Calculations!O14:O16)</f>
        <v>975000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10500000</v>
      </c>
    </row>
    <row r="98" spans="1:30">
      <c r="A98" t="s">
        <v>64</v>
      </c>
      <c r="B98" s="36">
        <f>IF(Inputs!B44="Yes",Inputs!B45,0)</f>
        <v>15000</v>
      </c>
    </row>
    <row r="99" spans="1:30">
      <c r="A99" t="s">
        <v>65</v>
      </c>
      <c r="B99" s="36">
        <f>Inputs!B46</f>
        <v>20000</v>
      </c>
    </row>
    <row r="100" spans="1:30" customHeight="1" ht="15.75">
      <c r="A100" s="18" t="s">
        <v>66</v>
      </c>
      <c r="B100" s="37">
        <f>Inputs!B48</f>
        <v>20000000</v>
      </c>
    </row>
    <row r="101" spans="1:30" customHeight="1" ht="15.75">
      <c r="A101" s="1" t="s">
        <v>67</v>
      </c>
      <c r="B101" s="19">
        <f>SUM(B94:B100)</f>
        <v>32160000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50</v>
      </c>
      <c r="D19" s="145"/>
      <c r="E19" s="20"/>
      <c r="F19" s="145" t="s">
        <v>92</v>
      </c>
      <c r="G19" s="20"/>
      <c r="H19" s="20"/>
      <c r="I19" s="145" t="s">
        <v>111</v>
      </c>
      <c r="J19" s="145"/>
      <c r="K19" s="145"/>
      <c r="L19" s="25"/>
    </row>
    <row r="20" spans="1:48">
      <c r="A20" s="143" t="s">
        <v>112</v>
      </c>
      <c r="B20" s="16"/>
      <c r="C20" s="143">
        <v>15</v>
      </c>
      <c r="D20" s="147"/>
      <c r="E20" s="16"/>
      <c r="F20" s="147" t="s">
        <v>93</v>
      </c>
      <c r="G20" s="16"/>
      <c r="H20" s="16"/>
      <c r="I20" s="147" t="s">
        <v>111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5</v>
      </c>
    </row>
    <row r="27" spans="1:48">
      <c r="A27" s="14" t="s">
        <v>115</v>
      </c>
    </row>
    <row r="29" spans="1:48">
      <c r="A29" s="45" t="s">
        <v>116</v>
      </c>
      <c r="B29" s="156"/>
    </row>
    <row r="30" spans="1:48">
      <c r="A30" s="44" t="s">
        <v>117</v>
      </c>
      <c r="B30" s="157">
        <v>0</v>
      </c>
    </row>
    <row r="31" spans="1:48">
      <c r="A31" s="5" t="s">
        <v>118</v>
      </c>
      <c r="B31" s="158">
        <v>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15000</v>
      </c>
    </row>
    <row r="46" spans="1:48" customHeight="1" ht="30">
      <c r="A46" s="57" t="s">
        <v>132</v>
      </c>
      <c r="B46" s="161">
        <v>20000</v>
      </c>
    </row>
    <row r="47" spans="1:48" customHeight="1" ht="30">
      <c r="A47" s="57" t="s">
        <v>133</v>
      </c>
      <c r="B47" s="161">
        <v>625000</v>
      </c>
    </row>
    <row r="48" spans="1:48" customHeight="1" ht="30">
      <c r="A48" s="57" t="s">
        <v>134</v>
      </c>
      <c r="B48" s="161">
        <v>20000000</v>
      </c>
    </row>
    <row r="49" spans="1:48" customHeight="1" ht="30">
      <c r="A49" s="57" t="s">
        <v>135</v>
      </c>
      <c r="B49" s="161">
        <v>25000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1300</v>
      </c>
      <c r="B56" s="159">
        <v>0</v>
      </c>
      <c r="C56" s="162" t="s">
        <v>144</v>
      </c>
      <c r="D56" s="163" t="s">
        <v>145</v>
      </c>
      <c r="E56" s="163" t="s">
        <v>93</v>
      </c>
      <c r="F56" s="163" t="s">
        <v>146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148</v>
      </c>
      <c r="C65" s="10" t="s">
        <v>149</v>
      </c>
    </row>
    <row r="66" spans="1:48">
      <c r="A66" s="142" t="s">
        <v>150</v>
      </c>
      <c r="B66" s="159">
        <v>100150</v>
      </c>
      <c r="C66" s="163">
        <v>75418</v>
      </c>
      <c r="D66" s="49">
        <f>INDEX(Parameters!$D$79:$D$90,MATCH(Inputs!A66,Parameters!$C$79:$C$90,0))</f>
        <v>5</v>
      </c>
    </row>
    <row r="67" spans="1:48">
      <c r="A67" s="143" t="s">
        <v>151</v>
      </c>
      <c r="B67" s="157">
        <v>109990</v>
      </c>
      <c r="C67" s="165">
        <v>97993</v>
      </c>
      <c r="D67" s="49">
        <f>INDEX(Parameters!$D$79:$D$90,MATCH(Inputs!A67,Parameters!$C$79:$C$90,0))</f>
        <v>4</v>
      </c>
    </row>
    <row r="68" spans="1:48">
      <c r="A68" s="143" t="s">
        <v>152</v>
      </c>
      <c r="B68" s="157">
        <v>145030</v>
      </c>
      <c r="C68" s="165">
        <v>131600</v>
      </c>
      <c r="D68" s="49">
        <f>INDEX(Parameters!$D$79:$D$90,MATCH(Inputs!A68,Parameters!$C$79:$C$90,0))</f>
        <v>3</v>
      </c>
    </row>
    <row r="69" spans="1:48">
      <c r="A69" s="143" t="s">
        <v>153</v>
      </c>
      <c r="B69" s="157">
        <v>22250</v>
      </c>
      <c r="C69" s="165">
        <v>9909</v>
      </c>
      <c r="D69" s="49">
        <f>INDEX(Parameters!$D$79:$D$90,MATCH(Inputs!A69,Parameters!$C$79:$C$90,0))</f>
        <v>2</v>
      </c>
    </row>
    <row r="70" spans="1:48">
      <c r="A70" s="143" t="s">
        <v>154</v>
      </c>
      <c r="B70" s="157">
        <v>65750</v>
      </c>
      <c r="C70" s="165">
        <v>51400</v>
      </c>
      <c r="D70" s="49">
        <f>INDEX(Parameters!$D$79:$D$90,MATCH(Inputs!A70,Parameters!$C$79:$C$90,0))</f>
        <v>1</v>
      </c>
    </row>
    <row r="71" spans="1:48">
      <c r="A71" s="144" t="s">
        <v>155</v>
      </c>
      <c r="B71" s="158">
        <v>202873</v>
      </c>
      <c r="C71" s="167">
        <v>192997</v>
      </c>
      <c r="D71" s="49">
        <f>INDEX(Parameters!$D$79:$D$90,MATCH(Inputs!A71,Parameters!$C$79:$C$90,0))</f>
        <v>12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14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100000</v>
      </c>
    </row>
    <row r="82" spans="1:48">
      <c r="A82" t="s">
        <v>165</v>
      </c>
      <c r="B82" s="161">
        <v>18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43040</v>
      </c>
      <c r="D4" s="38">
        <f>IFERROR(DATE(YEAR(B4),MONTH(B4)+T4,DAY(B4)),"")</f>
        <v>43101</v>
      </c>
      <c r="E4" s="38">
        <f>IFERROR(IF($S4=0,"",IF($S4=2,DATE(YEAR(B4),MONTH(B4)+6,DAY(B4)),IF($S4=1,B4,""))),"")</f>
        <v>43160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43282</v>
      </c>
      <c r="H4" s="20">
        <f>Inputs!C7</f>
        <v>20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171160.2946655974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3642291.070483912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480000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86000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228000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Carrots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42948</v>
      </c>
      <c r="C5" s="39">
        <f>IFERROR(DATE(YEAR(B5),MONTH(B5)+ROUND(T5/2,0),DAY(B5)),B5)</f>
        <v>43009</v>
      </c>
      <c r="D5" s="39">
        <f>IFERROR(DATE(YEAR(B5),MONTH(B5)+T5,DAY(B5)),"")</f>
        <v>43070</v>
      </c>
      <c r="E5" s="39">
        <f>IFERROR(IF($S5=0,"",IF($S5=2,DATE(YEAR(B5),MONTH(B5)+6,DAY(B5)),IF($S5=1,B5,""))),"")</f>
        <v>43132</v>
      </c>
      <c r="F5" s="39">
        <f>IFERROR(IF($S5=0,"",IF($S5=2,DATE(YEAR(C5),MONTH(C5)+6,DAY(C5)),IF($S5=1,C5,""))),"")</f>
        <v>43191</v>
      </c>
      <c r="G5" s="39">
        <f>IFERROR(IF($S5=0,"",IF($S5=2,DATE(YEAR(D5),MONTH(D5)+6,DAY(D5)),IF($S5=1,D5,""))),"")</f>
        <v>43252</v>
      </c>
      <c r="H5" s="16">
        <f>Inputs!C8</f>
        <v>10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80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8780.158337056037</v>
      </c>
      <c r="M5" s="30">
        <f>L5*H5</f>
        <v>87801.58337056037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28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4916888.668751381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104000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19000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190000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5</v>
      </c>
      <c r="AD6" s="22">
        <f>IF($A6=0,1/12,IFERROR(INDEX(Parameters!$X$2:$AI$17,MATCH(Calculations!$A6,Parameters!$A$2:$A$17,0),MONTH(Calculations!AD$3)),1/12))</f>
        <v>6</v>
      </c>
      <c r="AE6" s="22">
        <f>IF($A6=0,1/12,IFERROR(INDEX(Parameters!$X$2:$AI$17,MATCH(Calculations!$A6,Parameters!$A$2:$A$17,0),MONTH(Calculations!AE$3)),1/12))</f>
        <v>7</v>
      </c>
      <c r="AF6" s="22">
        <f>IF($A6=0,1/12,IFERROR(INDEX(Parameters!$X$2:$AI$17,MATCH(Calculations!$A6,Parameters!$A$2:$A$17,0),MONTH(Calculations!AF$3)),1/12))</f>
        <v>8</v>
      </c>
      <c r="AG6" s="22">
        <f>IF($A6=0,1/12,IFERROR(INDEX(Parameters!$X$2:$AI$17,MATCH(Calculations!$A6,Parameters!$A$2:$A$17,0),MONTH(Calculations!AG$3)),1/12))</f>
        <v>9</v>
      </c>
      <c r="AH6" s="22">
        <f>IF($A6=0,1/12,IFERROR(INDEX(Parameters!$X$2:$AI$17,MATCH(Calculations!$A6,Parameters!$A$2:$A$17,0),MONTH(Calculations!AH$3)),1/12))</f>
        <v>10</v>
      </c>
      <c r="AI6" s="22">
        <f>IF($A6=0,1/12,IFERROR(INDEX(Parameters!$X$2:$AI$17,MATCH(Calculations!$A6,Parameters!$A$2:$A$17,0),MONTH(Calculations!AI$3)),1/12))</f>
        <v>11</v>
      </c>
      <c r="AJ6" s="22">
        <f>IF($A6=0,1/12,IFERROR(INDEX(Parameters!$X$2:$AI$17,MATCH(Calculations!$A6,Parameters!$A$2:$A$17,0),MONTH(Calculations!AJ$3)),1/12))</f>
        <v>12</v>
      </c>
      <c r="AK6" s="22">
        <f>IF($A6=0,1/12,IFERROR(INDEX(Parameters!$X$2:$AI$17,MATCH(Calculations!$A6,Parameters!$A$2:$A$17,0),MONTH(Calculations!AK$3)),1/12))</f>
        <v>1</v>
      </c>
      <c r="AL6" s="22">
        <f>IF($A6=0,1/12,IFERROR(INDEX(Parameters!$X$2:$AI$17,MATCH(Calculations!$A6,Parameters!$A$2:$A$17,0),MONTH(Calculations!AL$3)),1/12))</f>
        <v>2</v>
      </c>
      <c r="AM6" s="22">
        <f>IF($A6=0,1/12,IFERROR(INDEX(Parameters!$X$2:$AI$17,MATCH(Calculations!$A6,Parameters!$A$2:$A$17,0),MONTH(Calculations!AM$3)),1/12))</f>
        <v>3</v>
      </c>
      <c r="AN6" s="22">
        <f>IF($A6=0,1/12,IFERROR(INDEX(Parameters!$X$2:$AI$17,MATCH(Calculations!$A6,Parameters!$A$2:$A$17,0),MONTH(Calculations!AN$3)),1/12))</f>
        <v>4</v>
      </c>
      <c r="AO6" s="22">
        <f>IF($A6=0,1/12,IFERROR(INDEX(Parameters!$X$2:$AI$17,MATCH(Calculations!$A6,Parameters!$A$2:$A$17,0),MONTH(Calculations!AO$3)),1/12))</f>
        <v>5</v>
      </c>
      <c r="AP6" s="22">
        <f>IF($A6=0,1/12,IFERROR(INDEX(Parameters!$X$2:$AI$17,MATCH(Calculations!$A6,Parameters!$A$2:$A$17,0),MONTH(Calculations!AP$3)),1/12))</f>
        <v>6</v>
      </c>
      <c r="AQ6" s="22">
        <f>IF($A6=0,1/12,IFERROR(INDEX(Parameters!$X$2:$AI$17,MATCH(Calculations!$A6,Parameters!$A$2:$A$17,0),MONTH(Calculations!AQ$3)),1/12))</f>
        <v>7</v>
      </c>
      <c r="AR6" s="22">
        <f>IF($A6=0,1/12,IFERROR(INDEX(Parameters!$X$2:$AI$17,MATCH(Calculations!$A6,Parameters!$A$2:$A$17,0),MONTH(Calculations!AR$3)),1/12))</f>
        <v>8</v>
      </c>
      <c r="AS6" s="22">
        <f>IF($A6=0,1/12,IFERROR(INDEX(Parameters!$X$2:$AI$17,MATCH(Calculations!$A6,Parameters!$A$2:$A$17,0),MONTH(Calculations!AS$3)),1/12))</f>
        <v>9</v>
      </c>
      <c r="AT6" s="22">
        <f>IF($A6=0,1/12,IFERROR(INDEX(Parameters!$X$2:$AI$17,MATCH(Calculations!$A6,Parameters!$A$2:$A$17,0),MONTH(Calculations!AT$3)),1/12))</f>
        <v>10</v>
      </c>
      <c r="AU6" s="22">
        <f>IF($A6=0,1/12,IFERROR(INDEX(Parameters!$X$2:$AI$17,MATCH(Calculations!$A6,Parameters!$A$2:$A$17,0),MONTH(Calculations!AU$3)),1/12))</f>
        <v>11</v>
      </c>
      <c r="AV6" s="22">
        <f>IF($A6=0,1/12,IFERROR(INDEX(Parameters!$X$2:$AI$17,MATCH(Calculations!$A6,Parameters!$A$2:$A$17,0),MONTH(Calculations!AV$3)),1/12))</f>
        <v>12</v>
      </c>
      <c r="AW6" s="22">
        <f>IF($A6=0,1/12,IFERROR(INDEX(Parameters!$X$2:$AI$17,MATCH(Calculations!$A6,Parameters!$A$2:$A$17,0),MONTH(Calculations!AW$3)),1/12))</f>
        <v>1</v>
      </c>
      <c r="AX6" s="22">
        <f>IF($A6=0,1/12,IFERROR(INDEX(Parameters!$X$2:$AI$17,MATCH(Calculations!$A6,Parameters!$A$2:$A$17,0),MONTH(Calculations!AX$3)),1/12))</f>
        <v>2</v>
      </c>
      <c r="AY6" s="22">
        <f>IF($A6=0,1/12,IFERROR(INDEX(Parameters!$X$2:$AI$17,MATCH(Calculations!$A6,Parameters!$A$2:$A$17,0),MONTH(Calculations!AY$3)),1/12))</f>
        <v>3</v>
      </c>
      <c r="AZ6" s="22">
        <f>IF($A6=0,1/12,IFERROR(INDEX(Parameters!$X$2:$AI$17,MATCH(Calculations!$A6,Parameters!$A$2:$A$17,0),MONTH(Calculations!AZ$3)),1/12))</f>
        <v>4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50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</v>
      </c>
      <c r="H14" s="121">
        <f>IFERROR(IF(B14="meat",INDEX(Parameters!$A$22:$P$29,MATCH(Calculations!A14,Parameters!$A$22:$A$29,0),MATCH(Parameters!$I$22,Parameters!$A$22:$P$22,0))*G14,""),"")</f>
        <v>30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187500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10000</v>
      </c>
      <c r="S14" s="63">
        <f>IFERROR(D14*INDEX(Parameters!$A$22:$P$29,MATCH(Calculations!$A14,Parameters!$A$22:$A$29,0),MATCH(Parameters!$N$22,Parameters!$A$22:$P$22,0)),"")</f>
        <v>15000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15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115000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9000</v>
      </c>
      <c r="S15" s="64">
        <f>IFERROR(D15*INDEX(Parameters!$A$22:$P$29,MATCH(Calculations!$A15,Parameters!$A$22:$A$29,0),MATCH(Parameters!$N$22,Parameters!$A$22:$P$22,0)),"")</f>
        <v>10500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1300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42915</v>
      </c>
      <c r="C33" s="27">
        <f>IF(B33&lt;&gt;"",IF(COUNT($A$33:A33)&lt;=$G$39,0,$G$41)+IF(COUNT($A$33:A33)&lt;=$G$40,0,$G$42),0)</f>
        <v>9833.333333333334</v>
      </c>
      <c r="D33" s="170">
        <f>IFERROR(DATE(YEAR(B33),MONTH(B33),1)," ")</f>
        <v>42887</v>
      </c>
      <c r="F33" t="s">
        <v>161</v>
      </c>
      <c r="G33" s="128">
        <f>IF(Inputs!B79="","",DATE(YEAR(Inputs!B79),MONTH(Inputs!B79),DAY(Inputs!B79)))</f>
        <v>42884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42944</v>
      </c>
      <c r="C34" s="27">
        <f>IF(B34&lt;&gt;"",IF(COUNT($A$33:A34)&lt;=$G$39,0,$G$41)+IF(COUNT($A$33:A34)&lt;=$G$40,0,$G$42),0)</f>
        <v>9833.333333333334</v>
      </c>
      <c r="D34" s="170">
        <f>IFERROR(DATE(YEAR(B34),MONTH(B34),1)," ")</f>
        <v>42917</v>
      </c>
      <c r="F34" t="s">
        <v>162</v>
      </c>
      <c r="G34" s="128">
        <f>IF(Inputs!B80="","",DATE(YEAR(Inputs!B80),MONTH(Inputs!B80),DAY(Inputs!B80)))</f>
        <v>42915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42975</v>
      </c>
      <c r="C35" s="27">
        <f>IF(B35&lt;&gt;"",IF(COUNT($A$33:A35)&lt;=$G$39,0,$G$41)+IF(COUNT($A$33:A35)&lt;=$G$40,0,$G$42),0)</f>
        <v>9833.333333333334</v>
      </c>
      <c r="D35" s="170">
        <f>IFERROR(DATE(YEAR(B35),MONTH(B35),1)," ")</f>
        <v>42948</v>
      </c>
      <c r="F35" t="s">
        <v>164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43006</v>
      </c>
      <c r="C36" s="27">
        <f>IF(B36&lt;&gt;"",IF(COUNT($A$33:A36)&lt;=$G$39,0,$G$41)+IF(COUNT($A$33:A36)&lt;=$G$40,0,$G$42),0)</f>
        <v>9833.333333333334</v>
      </c>
      <c r="D36" s="170">
        <f>IFERROR(DATE(YEAR(B36),MONTH(B36),1)," ")</f>
        <v>42979</v>
      </c>
      <c r="F36" t="s">
        <v>165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43036</v>
      </c>
      <c r="C37" s="27">
        <f>IF(B37&lt;&gt;"",IF(COUNT($A$33:A37)&lt;=$G$39,0,$G$41)+IF(COUNT($A$33:A37)&lt;=$G$40,0,$G$42),0)</f>
        <v>9833.333333333334</v>
      </c>
      <c r="D37" s="170">
        <f>IFERROR(DATE(YEAR(B37),MONTH(B37),1)," ")</f>
        <v>43009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43067</v>
      </c>
      <c r="C38" s="27">
        <f>IF(B38&lt;&gt;"",IF(COUNT($A$33:A38)&lt;=$G$39,0,$G$41)+IF(COUNT($A$33:A38)&lt;=$G$40,0,$G$42),0)</f>
        <v>9833.333333333334</v>
      </c>
      <c r="D38" s="170">
        <f>IFERROR(DATE(YEAR(B38),MONTH(B38),1)," ")</f>
        <v>43040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43097</v>
      </c>
      <c r="C39" s="27">
        <f>IF(B39&lt;&gt;"",IF(COUNT($A$33:A39)&lt;=$G$39,0,$G$41)+IF(COUNT($A$33:A39)&lt;=$G$40,0,$G$42),0)</f>
        <v>9833.333333333334</v>
      </c>
      <c r="D39" s="170">
        <f>IFERROR(DATE(YEAR(B39),MONTH(B39),1)," ")</f>
        <v>43070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43128</v>
      </c>
      <c r="C40" s="27">
        <f>IF(B40&lt;&gt;"",IF(COUNT($A$33:A40)&lt;=$G$39,0,$G$41)+IF(COUNT($A$33:A40)&lt;=$G$40,0,$G$42),0)</f>
        <v>9833.333333333334</v>
      </c>
      <c r="D40" s="170">
        <f>IFERROR(DATE(YEAR(B40),MONTH(B40),1)," ")</f>
        <v>43101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43159</v>
      </c>
      <c r="C41" s="27">
        <f>IF(B41&lt;&gt;"",IF(COUNT($A$33:A41)&lt;=$G$39,0,$G$41)+IF(COUNT($A$33:A41)&lt;=$G$40,0,$G$42),0)</f>
        <v>9833.333333333334</v>
      </c>
      <c r="D41" s="170">
        <f>IFERROR(DATE(YEAR(B41),MONTH(B41),1)," ")</f>
        <v>43132</v>
      </c>
      <c r="F41" t="s">
        <v>228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43187</v>
      </c>
      <c r="C42" s="27">
        <f>IF(B42&lt;&gt;"",IF(COUNT($A$33:A42)&lt;=$G$39,0,$G$41)+IF(COUNT($A$33:A42)&lt;=$G$40,0,$G$42),0)</f>
        <v>9833.333333333334</v>
      </c>
      <c r="D42" s="170">
        <f>IFERROR(DATE(YEAR(B42),MONTH(B42),1)," ")</f>
        <v>43160</v>
      </c>
      <c r="F42" t="s">
        <v>229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43218</v>
      </c>
      <c r="C43" s="27">
        <f>IF(B43&lt;&gt;"",IF(COUNT($A$33:A43)&lt;=$G$39,0,$G$41)+IF(COUNT($A$33:A43)&lt;=$G$40,0,$G$42),0)</f>
        <v>9833.333333333334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43248</v>
      </c>
      <c r="C44" s="27">
        <f>IF(B44&lt;&gt;"",IF(COUNT($A$33:A44)&lt;=$G$39,0,$G$41)+IF(COUNT($A$33:A44)&lt;=$G$40,0,$G$42),0)</f>
        <v>9833.333333333334</v>
      </c>
      <c r="D44" s="170">
        <f>IFERROR(DATE(YEAR(B44),MONTH(B44),1)," ")</f>
        <v>43221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95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202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112</v>
      </c>
      <c r="B26" s="16" t="s">
        <v>297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297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110</v>
      </c>
      <c r="B28" s="71" t="s">
        <v>297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297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112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110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313</v>
      </c>
      <c r="H52" s="12" t="s">
        <v>129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230</v>
      </c>
      <c r="E53" s="10" t="s">
        <v>189</v>
      </c>
      <c r="F53" s="10" t="s">
        <v>249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167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226</v>
      </c>
      <c r="J76" s="11" t="s">
        <v>347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93</v>
      </c>
      <c r="F77" s="12" t="s">
        <v>93</v>
      </c>
      <c r="G77" s="12" t="s">
        <v>111</v>
      </c>
      <c r="H77" s="12" t="s">
        <v>129</v>
      </c>
      <c r="I77" s="12" t="s">
        <v>349</v>
      </c>
      <c r="J77" s="136" t="s">
        <v>350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314</v>
      </c>
      <c r="I78" s="12" t="s">
        <v>355</v>
      </c>
      <c r="J78" s="70" t="s">
        <v>356</v>
      </c>
      <c r="K78" s="12" t="s">
        <v>93</v>
      </c>
      <c r="AJ78" s="12"/>
    </row>
    <row r="79" spans="1:36">
      <c r="B79" s="176">
        <v>10</v>
      </c>
      <c r="C79" s="12" t="s">
        <v>154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167</v>
      </c>
      <c r="J79" s="70" t="s">
        <v>360</v>
      </c>
      <c r="K79" s="12" t="s">
        <v>93</v>
      </c>
      <c r="AJ79" s="12"/>
    </row>
    <row r="80" spans="1:36">
      <c r="B80" s="176">
        <v>20</v>
      </c>
      <c r="C80" s="12" t="s">
        <v>153</v>
      </c>
      <c r="D80" s="12">
        <f>D79+1</f>
        <v>2</v>
      </c>
      <c r="E80" s="12" t="s">
        <v>361</v>
      </c>
      <c r="F80" s="12" t="s">
        <v>362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152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150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96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155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