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<sst xmlns="http://schemas.openxmlformats.org/spreadsheetml/2006/main" uniqueCount="370">
  <si>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</si>
  <si>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</si>
  <si>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</si>
  <si>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</si>
  <si>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</si>
  <si>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</si>
  <si>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</si>
  <si>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</si>
  <si>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</si>
  <si>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</si>
  <si>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</si>
  <si>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</si>
  <si>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</si>
  <si>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</si>
  <si>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</si>
  <si>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</si>
  <si>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</si>
  <si>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</si>
  <si>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</si>
  <si>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</si>
  <si>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</si>
  <si>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</si>
  <si>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</si>
  <si>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</si>
  <si>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</si>
  <si>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</si>
  <si>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</si>
  <si>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</si>
  <si>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</si>
  <si>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</si>
  <si>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</si>
  <si>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</si>
  <si>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</si>
  <si>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</si>
  <si>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</si>
  <si>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</si>
  <si>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</si>
  <si>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</si>
  <si>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</si>
  <si>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</si>
  <si>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</si>
  <si>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</si>
  <si>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</si>
  <si>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</si>
  <si>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</si>
  <si>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</si>
  <si>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</si>
  <si>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</si>
  <si>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</si>
  <si>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</si>
  <si>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</si>
  <si>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</si>
  <si>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</si>
  <si>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</si>
  <si>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</si>
  <si>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</si>
  <si>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</si>
  <si>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</si>
  <si>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</si>
  <si>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</si>
  <si>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</si>
  <si>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</si>
  <si>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</si>
  <si>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</si>
  <si>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</si>
  <si>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</si>
  <si>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</si>
  <si>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</si>
  <si>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</si>
  <si>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</si>
  <si>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</si>
  <si>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</si>
  <si>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</si>
  <si>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</si>
  <si>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</si>
  <si>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</si>
  <si>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</si>
  <si>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</si>
  <si>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</si>
  <si>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</si>
  <si>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</si>
  <si>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</si>
  <si>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</si>
  <si>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</si>
  <si>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</si>
  <si>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</si>
  <si>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</si>
  <si>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</si>
  <si>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</si>
  <si>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</si>
  <si>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</si>
  <si>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</si>
  <si>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</si>
  <si>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Yes using a diesel pump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</si>
  <si>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</si>
  <si>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</si>
  <si>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</si>
  <si>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</si>
  <si>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</si>
  <si>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</si>
  <si>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</si>
  <si>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</si>
  <si>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</si>
  <si>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</si>
  <si>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</si>
  <si>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</si>
  <si>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</si>
  <si>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</si>
  <si>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</si>
  <si>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</si>
  <si>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</si>
  <si>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</si>
  <si>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</si>
  <si>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</si>
  <si>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</si>
  <si>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</si>
  <si>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</si>
  <si>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</si>
  <si>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</si>
  <si>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</si>
  <si>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</si>
  <si>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</si>
  <si>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</si>
  <si>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</si>
  <si>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</si>
  <si>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</si>
  <si>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</si>
  <si>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</si>
  <si>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</si>
  <si>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</si>
  <si>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</si>
  <si>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</si>
  <si>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</si>
  <si>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</si>
  <si>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</si>
  <si>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</si>
  <si>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</si>
  <si>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</si>
  <si>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</si>
  <si>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</si>
  <si>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</si>
  <si>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8/3/2015</t>
  </si>
  <si>
    <t>Family bank</t>
  </si>
  <si>
    <t>Time repayment. no arrears noted.</t>
  </si>
  <si>
    <t>2/19/2014</t>
  </si>
  <si>
    <t>Timely repayment. no arrears noted.</t>
  </si>
  <si>
    <t>Mpesa &amp; bank cash flows (from past statements)</t>
  </si>
  <si>
    <t>Cash inflows</t>
  </si>
  <si>
    <t>Cash outflows</t>
  </si>
  <si>
    <t>November</t>
  </si>
  <si>
    <t>December</t>
  </si>
  <si>
    <t>February</t>
  </si>
  <si>
    <t>March</t>
  </si>
  <si>
    <t>April</t>
  </si>
  <si>
    <t>Loan info</t>
  </si>
  <si>
    <t>Branch ID</t>
  </si>
  <si>
    <t>Submission date</t>
  </si>
  <si>
    <t>2017/5/30</t>
  </si>
  <si>
    <t>Loan terms</t>
  </si>
  <si>
    <t>Expected disbursement date</t>
  </si>
  <si>
    <t>2017/5/31</t>
  </si>
  <si>
    <t>Expected first repayment date</t>
  </si>
  <si>
    <t>2017/7/4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</si>
  <si>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</si>
  <si>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</si>
  <si>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</si>
  <si>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</si>
  <si>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</si>
  <si>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</si>
  <si>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</si>
  <si>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</si>
  <si>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</si>
  <si>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</si>
  <si>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</si>
  <si>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</si>
  <si>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</si>
  <si>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</si>
  <si>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</si>
  <si>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</si>
  <si>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</si>
  <si>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</si>
  <si>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</si>
  <si>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</si>
  <si>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</si>
  <si>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</si>
  <si>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</si>
  <si>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</si>
  <si>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</si>
  <si>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</si>
  <si>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</si>
  <si>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</si>
  <si>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</si>
  <si>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</si>
  <si>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</si>
  <si>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</si>
  <si>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</si>
  <si>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</si>
  <si>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</si>
  <si>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</si>
  <si>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</si>
  <si>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</si>
  <si>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</si>
  <si>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</si>
  <si>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</si>
  <si>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</si>
  <si>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</si>
  <si>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</si>
  <si>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</si>
  <si>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</si>
  <si>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</si>
  <si>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</si>
  <si>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</si>
  <si>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</si>
  <si>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</si>
  <si>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</si>
  <si>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</si>
  <si>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</si>
  <si>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</si>
  <si>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</si>
  <si>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</si>
  <si>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</si>
  <si>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</si>
  <si>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</si>
  <si>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</si>
  <si>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</si>
  <si>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</si>
  <si>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</si>
  <si>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</si>
  <si>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</si>
  <si>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</si>
  <si>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</si>
  <si>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</si>
  <si>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</si>
  <si>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</si>
  <si>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</si>
  <si>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</si>
  <si>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</si>
  <si>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</si>
  <si>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</si>
  <si>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</si>
  <si>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</si>
  <si>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</si>
  <si>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</si>
  <si>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</si>
  <si>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</si>
  <si>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</si>
  <si>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</si>
  <si>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</si>
  <si>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</si>
  <si>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</si>
  <si>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</si>
  <si>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</si>
  <si>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</si>
  <si>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</si>
  <si>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</si>
  <si>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</si>
  <si>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</si>
  <si>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</si>
  <si>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</si>
  <si>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</si>
  <si>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</si>
  <si>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</si>
  <si>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</si>
  <si>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</si>
  <si>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</si>
  <si>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</si>
  <si>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</si>
  <si>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</si>
  <si>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</si>
  <si>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</si>
  <si>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</si>
  <si>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</si>
  <si>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</si>
  <si>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</si>
  <si>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</si>
  <si>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</si>
  <si>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</si>
  <si>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</si>
  <si>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</si>
  <si>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</si>
  <si>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</si>
  <si>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</si>
  <si>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</si>
  <si>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</si>
  <si>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</si>
  <si>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</si>
  <si>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</si>
  <si>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</si>
  <si>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</si>
  <si>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</si>
  <si>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</si>
  <si>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</si>
  <si>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</si>
  <si>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</si>
  <si>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</si>
  <si>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</si>
  <si>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</si>
  <si>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</si>
  <si>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</si>
  <si>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</si>
  <si>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</si>
  <si>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</si>
  <si>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</si>
  <si>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</si>
  <si>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</si>
  <si>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</si>
  <si>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</si>
  <si>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</si>
  <si>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</si>
  <si>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</si>
  <si>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</si>
  <si>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</si>
  <si>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</si>
  <si>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</si>
  <si>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</si>
  <si>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</si>
  <si>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</si>
  <si>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</si>
  <si>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</si>
  <si>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</si>
  <si>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</si>
  <si>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</si>
  <si>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</si>
  <si>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</si>
  <si>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</si>
  <si>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</si>
  <si>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</si>
  <si>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</si>
  <si>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</si>
  <si>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</si>
  <si>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</si>
  <si>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</si>
  <si>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</si>
  <si>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</si>
  <si>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</si>
  <si>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</si>
  <si>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</si>
  <si>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</si>
  <si>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</si>
  <si>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</si>
  <si>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</si>
  <si>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</si>
  <si>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</si>
  <si>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</si>
  <si>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</si>
  <si>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</si>
  <si>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</si>
  <si>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</si>
  <si>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</si>
  <si>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</si>
  <si>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</si>
  <si>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</si>
  <si>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</si>
  <si>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</si>
  <si>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</si>
  <si>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</si>
  <si>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</si>
  <si>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</si>
  <si>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</si>
  <si>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</si>
  <si>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</si>
  <si>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</si>
  <si>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</si>
  <si>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</si>
  <si>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</si>
  <si>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May</t>
  </si>
  <si>
    <t>June</t>
  </si>
  <si>
    <t>July</t>
  </si>
  <si>
    <t>August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</si>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</sst>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0.8651463549032781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2018</v>
      </c>
    </row>
    <row r="13" spans="1:7">
      <c r="B13" s="1" t="s">
        <v>8</v>
      </c>
      <c r="C13" s="67">
        <f>IFERROR(Output!B107/Output!B101,"")</f>
        <v>0.2452830188679245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49973.7462137533</v>
      </c>
    </row>
    <row r="18" spans="1:7">
      <c r="B18" s="1" t="s">
        <v>12</v>
      </c>
      <c r="C18" s="36">
        <f>MIN(Output!B6:M6)</f>
        <v>-30640.31923409741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40356.07502163314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140000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-8940.319234097406</v>
      </c>
      <c r="C6" s="51">
        <f>C30-C88</f>
        <v>-4640.319234097406</v>
      </c>
      <c r="D6" s="51">
        <f>D30-D88</f>
        <v>38492.07502163314</v>
      </c>
      <c r="E6" s="51">
        <f>E30-E88</f>
        <v>40356.07502163314</v>
      </c>
      <c r="F6" s="51">
        <f>F30-F88</f>
        <v>-30640.31923409741</v>
      </c>
      <c r="G6" s="51">
        <f>G30-G88</f>
        <v>-4640.319234097406</v>
      </c>
      <c r="H6" s="51">
        <f>H30-H88</f>
        <v>-8940.319234097406</v>
      </c>
      <c r="I6" s="51">
        <f>I30-I88</f>
        <v>-4640.319234097406</v>
      </c>
      <c r="J6" s="51">
        <f>J30-J88</f>
        <v>28492.07502163314</v>
      </c>
      <c r="K6" s="51">
        <f>K30-K88</f>
        <v>40356.07502163314</v>
      </c>
      <c r="L6" s="51">
        <f>L30-L88</f>
        <v>-30640.31923409741</v>
      </c>
      <c r="M6" s="51">
        <f>M30-M88</f>
        <v>-4640.319234097406</v>
      </c>
      <c r="N6" s="51">
        <f>N30-N88</f>
        <v>-8940.319234097406</v>
      </c>
      <c r="O6" s="51">
        <f>O30-O88</f>
        <v>-4640.319234097406</v>
      </c>
      <c r="P6" s="51">
        <f>P30-P88</f>
        <v>38492.07502163314</v>
      </c>
      <c r="Q6" s="51">
        <f>Q30-Q88</f>
        <v>40356.07502163314</v>
      </c>
      <c r="R6" s="51">
        <f>R30-R88</f>
        <v>-30640.31923409741</v>
      </c>
      <c r="S6" s="51">
        <f>S30-S88</f>
        <v>-4640.319234097406</v>
      </c>
      <c r="T6" s="51">
        <f>T30-T88</f>
        <v>-8940.319234097406</v>
      </c>
      <c r="U6" s="51">
        <f>U30-U88</f>
        <v>-4640.319234097406</v>
      </c>
      <c r="V6" s="51">
        <f>V30-V88</f>
        <v>28492.07502163314</v>
      </c>
      <c r="W6" s="51">
        <f>W30-W88</f>
        <v>40356.07502163314</v>
      </c>
      <c r="X6" s="51">
        <f>X30-X88</f>
        <v>-30640.31923409741</v>
      </c>
      <c r="Y6" s="51">
        <f>Y30-Y88</f>
        <v>-4640.319234097406</v>
      </c>
      <c r="Z6" s="51">
        <f>SUMIF($B$13:$Y$13,"Yes",B6:Y6)</f>
        <v>36393.10774555849</v>
      </c>
      <c r="AA6" s="51">
        <f>AA30-AA88</f>
        <v>49973.7462137533</v>
      </c>
      <c r="AB6" s="51">
        <f>AB30-AB88</f>
        <v>99947.49242750666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29038</v>
      </c>
      <c r="I7" s="80">
        <f>IF(ISERROR(VLOOKUP(MONTH(I5),Inputs!$D$66:$D$71,1,0)),"",INDEX(Inputs!$B$66:$B$71,MATCH(MONTH(Output!I5),Inputs!$D$66:$D$71,0))-INDEX(Inputs!$C$66:$C$71,MATCH(MONTH(Output!I5),Inputs!$D$66:$D$71,0)))</f>
        <v>20384</v>
      </c>
      <c r="J7" s="80">
        <f>IF(ISERROR(VLOOKUP(MONTH(J5),Inputs!$D$66:$D$71,1,0)),"",INDEX(Inputs!$B$66:$B$71,MATCH(MONTH(Output!J5),Inputs!$D$66:$D$71,0))-INDEX(Inputs!$C$66:$C$71,MATCH(MONTH(Output!J5),Inputs!$D$66:$D$71,0)))</f>
        <v>7554</v>
      </c>
      <c r="K7" s="80">
        <f>IF(ISERROR(VLOOKUP(MONTH(K5),Inputs!$D$66:$D$71,1,0)),"",INDEX(Inputs!$B$66:$B$71,MATCH(MONTH(Output!K5),Inputs!$D$66:$D$71,0))-INDEX(Inputs!$C$66:$C$71,MATCH(MONTH(Output!K5),Inputs!$D$66:$D$71,0)))</f>
        <v>9885</v>
      </c>
      <c r="L7" s="80">
        <f>IF(ISERROR(VLOOKUP(MONTH(L5),Inputs!$D$66:$D$71,1,0)),"",INDEX(Inputs!$B$66:$B$71,MATCH(MONTH(Output!L5),Inputs!$D$66:$D$71,0))-INDEX(Inputs!$C$66:$C$71,MATCH(MONTH(Output!L5),Inputs!$D$66:$D$71,0)))</f>
        <v>37858</v>
      </c>
      <c r="M7" s="80">
        <f>IF(ISERROR(VLOOKUP(MONTH(M5),Inputs!$D$66:$D$71,1,0)),"",INDEX(Inputs!$B$66:$B$71,MATCH(MONTH(Output!M5),Inputs!$D$66:$D$71,0))-INDEX(Inputs!$C$66:$C$71,MATCH(MONTH(Output!M5),Inputs!$D$66:$D$71,0)))</f>
        <v>20177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29038</v>
      </c>
      <c r="U7" s="80">
        <f>IF(ISERROR(VLOOKUP(MONTH(U5),Inputs!$D$66:$D$71,1,0)),"",INDEX(Inputs!$B$66:$B$71,MATCH(MONTH(Output!U5),Inputs!$D$66:$D$71,0))-INDEX(Inputs!$C$66:$C$71,MATCH(MONTH(Output!U5),Inputs!$D$66:$D$71,0)))</f>
        <v>20384</v>
      </c>
      <c r="V7" s="80">
        <f>IF(ISERROR(VLOOKUP(MONTH(V5),Inputs!$D$66:$D$71,1,0)),"",INDEX(Inputs!$B$66:$B$71,MATCH(MONTH(Output!V5),Inputs!$D$66:$D$71,0))-INDEX(Inputs!$C$66:$C$71,MATCH(MONTH(Output!V5),Inputs!$D$66:$D$71,0)))</f>
        <v>7554</v>
      </c>
      <c r="W7" s="80">
        <f>IF(ISERROR(VLOOKUP(MONTH(W5),Inputs!$D$66:$D$71,1,0)),"",INDEX(Inputs!$B$66:$B$71,MATCH(MONTH(Output!W5),Inputs!$D$66:$D$71,0))-INDEX(Inputs!$C$66:$C$71,MATCH(MONTH(Output!W5),Inputs!$D$66:$D$71,0)))</f>
        <v>9885</v>
      </c>
      <c r="X7" s="80">
        <f>IF(ISERROR(VLOOKUP(MONTH(X5),Inputs!$D$66:$D$71,1,0)),"",INDEX(Inputs!$B$66:$B$71,MATCH(MONTH(Output!X5),Inputs!$D$66:$D$71,0))-INDEX(Inputs!$C$66:$C$71,MATCH(MONTH(Output!X5),Inputs!$D$66:$D$71,0)))</f>
        <v>37858</v>
      </c>
      <c r="Y7" s="80">
        <f>IF(ISERROR(VLOOKUP(MONTH(Y5),Inputs!$D$66:$D$71,1,0)),"",INDEX(Inputs!$B$66:$B$71,MATCH(MONTH(Output!Y5),Inputs!$D$66:$D$71,0))-INDEX(Inputs!$C$66:$C$71,MATCH(MONTH(Output!Y5),Inputs!$D$66:$D$71,0)))</f>
        <v>20177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9833.333333333334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98333.33333333333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91059.68076590259</v>
      </c>
      <c r="C11" s="80">
        <f>C6+C9-C10</f>
        <v>-4640.319234097406</v>
      </c>
      <c r="D11" s="80">
        <f>D6+D9-D10</f>
        <v>28658.7416882998</v>
      </c>
      <c r="E11" s="80">
        <f>E6+E9-E10</f>
        <v>30522.7416882998</v>
      </c>
      <c r="F11" s="80">
        <f>F6+F9-F10</f>
        <v>-40473.65256743074</v>
      </c>
      <c r="G11" s="80">
        <f>G6+G9-G10</f>
        <v>-14473.65256743074</v>
      </c>
      <c r="H11" s="80">
        <f>H6+H9-H10</f>
        <v>-18773.65256743074</v>
      </c>
      <c r="I11" s="80">
        <f>I6+I9-I10</f>
        <v>-14473.65256743074</v>
      </c>
      <c r="J11" s="80">
        <f>J6+J9-J10</f>
        <v>18658.7416882998</v>
      </c>
      <c r="K11" s="80">
        <f>K6+K9-K10</f>
        <v>30522.7416882998</v>
      </c>
      <c r="L11" s="80">
        <f>L6+L9-L10</f>
        <v>-40473.65256743074</v>
      </c>
      <c r="M11" s="80">
        <f>M6+M9-M10</f>
        <v>-14473.65256743074</v>
      </c>
      <c r="N11" s="80">
        <f>N6+N9-N10</f>
        <v>-18773.65256743074</v>
      </c>
      <c r="O11" s="80">
        <f>O6+O9-O10</f>
        <v>-14473.65256743074</v>
      </c>
      <c r="P11" s="80">
        <f>P6+P9-P10</f>
        <v>38492.07502163314</v>
      </c>
      <c r="Q11" s="80">
        <f>Q6+Q9-Q10</f>
        <v>40356.07502163314</v>
      </c>
      <c r="R11" s="80">
        <f>R6+R9-R10</f>
        <v>-30640.31923409741</v>
      </c>
      <c r="S11" s="80">
        <f>S6+S9-S10</f>
        <v>-4640.319234097406</v>
      </c>
      <c r="T11" s="80">
        <f>T6+T9-T10</f>
        <v>-8940.319234097406</v>
      </c>
      <c r="U11" s="80">
        <f>U6+U9-U10</f>
        <v>-4640.319234097406</v>
      </c>
      <c r="V11" s="80">
        <f>V6+V9-V10</f>
        <v>28492.07502163314</v>
      </c>
      <c r="W11" s="80">
        <f>W6+W9-W10</f>
        <v>40356.07502163314</v>
      </c>
      <c r="X11" s="80">
        <f>X6+X9-X10</f>
        <v>-30640.31923409741</v>
      </c>
      <c r="Y11" s="80">
        <f>Y6+Y9-Y10</f>
        <v>-4640.319234097406</v>
      </c>
      <c r="Z11" s="85">
        <f>SUMIF($B$13:$Y$13,"Yes",B11:Y11)</f>
        <v>18393.10774555848</v>
      </c>
      <c r="AA11" s="80">
        <f>SUM(B11:M11)</f>
        <v>51640.41288041996</v>
      </c>
      <c r="AB11" s="46">
        <f>SUM(B11:Y11)</f>
        <v>81947.4924275066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0.07872244211302892</v>
      </c>
      <c r="E12" s="82">
        <f>IF(E13="Yes",IF(SUM($B$10:E10)/(SUM($B$6:E6)+SUM($B$9:E9))&lt;0,999.99,SUM($B$10:E10)/(SUM($B$6:E6)+SUM($B$9:E9))),"")</f>
        <v>0.1189989882417588</v>
      </c>
      <c r="F12" s="82">
        <f>IF(F13="Yes",IF(SUM($B$10:F10)/(SUM($B$6:F6)+SUM($B$9:F9))&lt;0,999.99,SUM($B$10:F10)/(SUM($B$6:F6)+SUM($B$9:F9))),"")</f>
        <v>0.2191236368153955</v>
      </c>
      <c r="G12" s="82">
        <f>IF(G13="Yes",IF(SUM($B$10:G10)/(SUM($B$6:G6)+SUM($B$9:G9))&lt;0,999.99,SUM($B$10:G10)/(SUM($B$6:G6)+SUM($B$9:G9))),"")</f>
        <v>0.3025946573927741</v>
      </c>
      <c r="H12" s="82">
        <f>IF(H13="Yes",IF(SUM($B$10:H10)/(SUM($B$6:H6)+SUM($B$9:H9))&lt;0,999.99,SUM($B$10:H10)/(SUM($B$6:H6)+SUM($B$9:H9))),"")</f>
        <v>0.4061798134157638</v>
      </c>
      <c r="I12" s="82">
        <f>IF(I13="Yes",IF(SUM($B$10:I10)/(SUM($B$6:I6)+SUM($B$9:I9))&lt;0,999.99,SUM($B$10:I10)/(SUM($B$6:I6)+SUM($B$9:I9))),"")</f>
        <v>0.5068457044687732</v>
      </c>
      <c r="J12" s="82">
        <f>IF(J13="Yes",IF(SUM($B$10:J10)/(SUM($B$6:J6)+SUM($B$9:J9))&lt;0,999.99,SUM($B$10:J10)/(SUM($B$6:J6)+SUM($B$9:J9))),"")</f>
        <v>0.4750457993243626</v>
      </c>
      <c r="K12" s="82">
        <f>IF(K13="Yes",IF(SUM($B$10:K10)/(SUM($B$6:K6)+SUM($B$9:K9))&lt;0,999.99,SUM($B$10:K10)/(SUM($B$6:K6)+SUM($B$9:K9))),"")</f>
        <v>0.424641321185054</v>
      </c>
      <c r="L12" s="82">
        <f>IF(L13="Yes",IF(SUM($B$10:L10)/(SUM($B$6:L6)+SUM($B$9:L9))&lt;0,999.99,SUM($B$10:L10)/(SUM($B$6:L6)+SUM($B$9:L9))),"")</f>
        <v>0.5723929433176304</v>
      </c>
      <c r="M12" s="82">
        <f>IF(M13="Yes",IF(SUM($B$10:M10)/(SUM($B$6:M6)+SUM($B$9:M9))&lt;0,999.99,SUM($B$10:M10)/(SUM($B$6:M6)+SUM($B$9:M9))),"")</f>
        <v>0.6556703144107745</v>
      </c>
      <c r="N12" s="82">
        <f>IF(N13="Yes",IF(SUM($B$10:N10)/(SUM($B$6:N6)+SUM($B$9:N9))&lt;0,999.99,SUM($B$10:N10)/(SUM($B$6:N6)+SUM($B$9:N9))),"")</f>
        <v>0.7669576566573095</v>
      </c>
      <c r="O12" s="82">
        <f>IF(O13="Yes",IF(SUM($B$10:O10)/(SUM($B$6:O6)+SUM($B$9:O9))&lt;0,999.99,SUM($B$10:O10)/(SUM($B$6:O6)+SUM($B$9:O9))),"")</f>
        <v>0.8651463549032781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43132.39425573054</v>
      </c>
      <c r="E18" s="36">
        <f>Q18</f>
        <v>43132.39425573054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43132.39425573054</v>
      </c>
      <c r="K18" s="36">
        <f>W18</f>
        <v>43132.39425573054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43132.39425573054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43132.39425573054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43132.39425573054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43132.39425573054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172529.5770229222</v>
      </c>
      <c r="AA18" s="36">
        <f>SUM(B18:M18)</f>
        <v>172529.5770229222</v>
      </c>
      <c r="AB18" s="36">
        <f>SUM(B18:Y18)</f>
        <v>345059.1540458444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43132.39425573054</v>
      </c>
      <c r="E30" s="19">
        <f>SUM(E18:E29)</f>
        <v>43132.39425573054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43132.39425573054</v>
      </c>
      <c r="K30" s="19">
        <f>SUM(K18:K29)</f>
        <v>43132.39425573054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43132.39425573054</v>
      </c>
      <c r="Q30" s="19">
        <f>SUM(Q18:Q29)</f>
        <v>43132.39425573054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43132.39425573054</v>
      </c>
      <c r="W30" s="19">
        <f>SUM(W18:W29)</f>
        <v>43132.39425573054</v>
      </c>
      <c r="X30" s="19">
        <f>SUM(X18:X29)</f>
        <v>0</v>
      </c>
      <c r="Y30" s="19">
        <f>SUM(Y18:Y29)</f>
        <v>0</v>
      </c>
      <c r="Z30" s="19">
        <f>SUMIF($B$13:$Y$13,"Yes",B30:Y30)</f>
        <v>172529.5770229222</v>
      </c>
      <c r="AA30" s="19">
        <f>SUM(B30:M30)</f>
        <v>172529.5770229222</v>
      </c>
      <c r="AB30" s="19">
        <f>SUM(B30:Y30)</f>
        <v>345059.1540458444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2000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2000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2000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2000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2000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2000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2000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24000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24000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24000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24000</v>
      </c>
      <c r="Y42" s="36">
        <f>SUM(Y43:Y47)</f>
        <v>0</v>
      </c>
      <c r="Z42" s="36">
        <f>SUMIF($B$13:$Y$13,"Yes",B42:Y42)</f>
        <v>48000</v>
      </c>
      <c r="AA42" s="36">
        <f>SUM(B42:M42)</f>
        <v>48000</v>
      </c>
      <c r="AB42" s="36">
        <f>SUM(B42:Y42)</f>
        <v>96000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24000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24000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24000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24000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48000</v>
      </c>
      <c r="AA43" s="36">
        <f>SUM(B43:M43)</f>
        <v>48000</v>
      </c>
      <c r="AB43" s="36">
        <f>SUM(B43:Y43)</f>
        <v>96000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4300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4300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4300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4300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12900</v>
      </c>
      <c r="AA48" s="46">
        <f>SUM(B48:M48)</f>
        <v>8600</v>
      </c>
      <c r="AB48" s="46">
        <f>SUM(B48:Y48)</f>
        <v>17200</v>
      </c>
    </row>
    <row r="49" spans="1:30" hidden="true" outlineLevel="1">
      <c r="A49" s="181" t="str">
        <f>Calculations!$A$4</f>
        <v>Potatoes</v>
      </c>
      <c r="B49" s="36">
        <f>N49</f>
        <v>4300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4300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4300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4300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12900</v>
      </c>
      <c r="AA49" s="46">
        <f>SUM(B49:M49)</f>
        <v>8600</v>
      </c>
      <c r="AB49" s="46">
        <f>SUM(B49:Y49)</f>
        <v>17200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1000</v>
      </c>
      <c r="C60" s="36">
        <f>O60</f>
        <v>1000</v>
      </c>
      <c r="D60" s="36">
        <f>P60</f>
        <v>1000</v>
      </c>
      <c r="E60" s="36">
        <f>Q60</f>
        <v>0</v>
      </c>
      <c r="F60" s="36">
        <f>R60</f>
        <v>1000</v>
      </c>
      <c r="G60" s="36">
        <f>S60</f>
        <v>1000</v>
      </c>
      <c r="H60" s="36">
        <f>T60</f>
        <v>1000</v>
      </c>
      <c r="I60" s="36">
        <f>U60</f>
        <v>1000</v>
      </c>
      <c r="J60" s="36">
        <f>V60</f>
        <v>1000</v>
      </c>
      <c r="K60" s="36">
        <f>W60</f>
        <v>0</v>
      </c>
      <c r="L60" s="36">
        <f>X60</f>
        <v>1000</v>
      </c>
      <c r="M60" s="36">
        <f>Y60</f>
        <v>1000</v>
      </c>
      <c r="N60" s="46">
        <f>SUM(N61:N65)</f>
        <v>1000</v>
      </c>
      <c r="O60" s="46">
        <f>SUM(O61:O65)</f>
        <v>1000</v>
      </c>
      <c r="P60" s="46">
        <f>SUM(P61:P65)</f>
        <v>1000</v>
      </c>
      <c r="Q60" s="46">
        <f>SUM(Q61:Q65)</f>
        <v>0</v>
      </c>
      <c r="R60" s="46">
        <f>SUM(R61:R65)</f>
        <v>1000</v>
      </c>
      <c r="S60" s="46">
        <f>SUM(S61:S65)</f>
        <v>1000</v>
      </c>
      <c r="T60" s="46">
        <f>SUM(T61:T65)</f>
        <v>1000</v>
      </c>
      <c r="U60" s="46">
        <f>SUM(U61:U65)</f>
        <v>1000</v>
      </c>
      <c r="V60" s="46">
        <f>SUM(V61:V65)</f>
        <v>1000</v>
      </c>
      <c r="W60" s="46">
        <f>SUM(W61:W65)</f>
        <v>0</v>
      </c>
      <c r="X60" s="46">
        <f>SUM(X61:X65)</f>
        <v>1000</v>
      </c>
      <c r="Y60" s="46">
        <f>SUM(Y61:Y65)</f>
        <v>1000</v>
      </c>
      <c r="Z60" s="46">
        <f>SUMIF($B$13:$Y$13,"Yes",B60:Y60)</f>
        <v>12000</v>
      </c>
      <c r="AA60" s="46">
        <f>SUM(B60:M60)</f>
        <v>10000</v>
      </c>
      <c r="AB60" s="46">
        <f>SUM(B60:Y60)</f>
        <v>20000</v>
      </c>
    </row>
    <row r="61" spans="1:30" hidden="true" outlineLevel="1">
      <c r="A61" s="181" t="str">
        <f>Calculations!$A$4</f>
        <v>Potatoes</v>
      </c>
      <c r="B61" s="36">
        <f>N61</f>
        <v>1000</v>
      </c>
      <c r="C61" s="36">
        <f>O61</f>
        <v>1000</v>
      </c>
      <c r="D61" s="36">
        <f>P61</f>
        <v>1000</v>
      </c>
      <c r="E61" s="36">
        <f>Q61</f>
        <v>0</v>
      </c>
      <c r="F61" s="36">
        <f>R61</f>
        <v>1000</v>
      </c>
      <c r="G61" s="36">
        <f>S61</f>
        <v>1000</v>
      </c>
      <c r="H61" s="36">
        <f>T61</f>
        <v>1000</v>
      </c>
      <c r="I61" s="36">
        <f>U61</f>
        <v>1000</v>
      </c>
      <c r="J61" s="36">
        <f>V61</f>
        <v>1000</v>
      </c>
      <c r="K61" s="36">
        <f>W61</f>
        <v>0</v>
      </c>
      <c r="L61" s="36">
        <f>X61</f>
        <v>1000</v>
      </c>
      <c r="M61" s="36">
        <f>Y61</f>
        <v>1000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1000</v>
      </c>
      <c r="Z61" s="46">
        <f>SUMIF($B$13:$Y$13,"Yes",B61:Y61)</f>
        <v>12000</v>
      </c>
      <c r="AA61" s="46">
        <f>SUM(B61:M61)</f>
        <v>10000</v>
      </c>
      <c r="AB61" s="46">
        <f>SUM(B61:Y61)</f>
        <v>20000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864</v>
      </c>
      <c r="C66" s="36">
        <f>O66</f>
        <v>864</v>
      </c>
      <c r="D66" s="36">
        <f>P66</f>
        <v>864</v>
      </c>
      <c r="E66" s="36">
        <f>Q66</f>
        <v>0</v>
      </c>
      <c r="F66" s="36">
        <f>R66</f>
        <v>864</v>
      </c>
      <c r="G66" s="36">
        <f>S66</f>
        <v>864</v>
      </c>
      <c r="H66" s="36">
        <f>T66</f>
        <v>864</v>
      </c>
      <c r="I66" s="36">
        <f>U66</f>
        <v>864</v>
      </c>
      <c r="J66" s="36">
        <f>V66</f>
        <v>864</v>
      </c>
      <c r="K66" s="36">
        <f>W66</f>
        <v>0</v>
      </c>
      <c r="L66" s="36">
        <f>X66</f>
        <v>864</v>
      </c>
      <c r="M66" s="36">
        <f>Y66</f>
        <v>864</v>
      </c>
      <c r="N66" s="46">
        <f>SUM(N67:N71)</f>
        <v>864</v>
      </c>
      <c r="O66" s="46">
        <f>SUM(O67:O71)</f>
        <v>864</v>
      </c>
      <c r="P66" s="46">
        <f>SUM(P67:P71)</f>
        <v>864</v>
      </c>
      <c r="Q66" s="46">
        <f>SUM(Q67:Q71)</f>
        <v>0</v>
      </c>
      <c r="R66" s="46">
        <f>SUM(R67:R71)</f>
        <v>864</v>
      </c>
      <c r="S66" s="46">
        <f>SUM(S67:S71)</f>
        <v>864</v>
      </c>
      <c r="T66" s="46">
        <f>SUM(T67:T71)</f>
        <v>864</v>
      </c>
      <c r="U66" s="46">
        <f>SUM(U67:U71)</f>
        <v>864</v>
      </c>
      <c r="V66" s="46">
        <f>SUM(V67:V71)</f>
        <v>864</v>
      </c>
      <c r="W66" s="46">
        <f>SUM(W67:W71)</f>
        <v>0</v>
      </c>
      <c r="X66" s="46">
        <f>SUM(X67:X71)</f>
        <v>864</v>
      </c>
      <c r="Y66" s="46">
        <f>SUM(Y67:Y71)</f>
        <v>864</v>
      </c>
      <c r="Z66" s="46">
        <f>SUMIF($B$13:$Y$13,"Yes",B66:Y66)</f>
        <v>10368</v>
      </c>
      <c r="AA66" s="46">
        <f>SUM(B66:M66)</f>
        <v>8640</v>
      </c>
      <c r="AB66" s="46">
        <f>SUM(B66:Y66)</f>
        <v>17280</v>
      </c>
    </row>
    <row r="67" spans="1:30" hidden="true" outlineLevel="1">
      <c r="A67" s="181" t="str">
        <f>Calculations!$A$4</f>
        <v>Potatoes</v>
      </c>
      <c r="B67" s="36">
        <f>N67</f>
        <v>864</v>
      </c>
      <c r="C67" s="36">
        <f>O67</f>
        <v>864</v>
      </c>
      <c r="D67" s="36">
        <f>P67</f>
        <v>864</v>
      </c>
      <c r="E67" s="36">
        <f>Q67</f>
        <v>0</v>
      </c>
      <c r="F67" s="36">
        <f>R67</f>
        <v>864</v>
      </c>
      <c r="G67" s="36">
        <f>S67</f>
        <v>864</v>
      </c>
      <c r="H67" s="36">
        <f>T67</f>
        <v>864</v>
      </c>
      <c r="I67" s="36">
        <f>U67</f>
        <v>864</v>
      </c>
      <c r="J67" s="36">
        <f>V67</f>
        <v>864</v>
      </c>
      <c r="K67" s="36">
        <f>W67</f>
        <v>0</v>
      </c>
      <c r="L67" s="36">
        <f>X67</f>
        <v>864</v>
      </c>
      <c r="M67" s="36">
        <f>Y67</f>
        <v>864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864</v>
      </c>
      <c r="Z67" s="46">
        <f>SUMIF($B$13:$Y$13,"Yes",B67:Y67)</f>
        <v>10368</v>
      </c>
      <c r="AA67" s="46">
        <f>SUM(B67:M67)</f>
        <v>8640</v>
      </c>
      <c r="AB67" s="46">
        <f>SUM(B67:Y67)</f>
        <v>17280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10000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10000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10000</v>
      </c>
      <c r="AA72" s="46">
        <f>SUM(B72:M72)</f>
        <v>10000</v>
      </c>
      <c r="AB72" s="46">
        <f>SUM(B72:Y72)</f>
        <v>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2776.319234097406</v>
      </c>
      <c r="C81" s="46">
        <f>(SUM($AA$18:$AA$29)-SUM($AA$36,$AA$42,$AA$48,$AA$54,$AA$60,$AA$66,$AA$72:$AA$79))*Parameters!$B$37/12</f>
        <v>2776.319234097406</v>
      </c>
      <c r="D81" s="46">
        <f>(SUM($AA$18:$AA$29)-SUM($AA$36,$AA$42,$AA$48,$AA$54,$AA$60,$AA$66,$AA$72:$AA$79))*Parameters!$B$37/12</f>
        <v>2776.319234097406</v>
      </c>
      <c r="E81" s="46">
        <f>(SUM($AA$18:$AA$29)-SUM($AA$36,$AA$42,$AA$48,$AA$54,$AA$60,$AA$66,$AA$72:$AA$79))*Parameters!$B$37/12</f>
        <v>2776.319234097406</v>
      </c>
      <c r="F81" s="46">
        <f>(SUM($AA$18:$AA$29)-SUM($AA$36,$AA$42,$AA$48,$AA$54,$AA$60,$AA$66,$AA$72:$AA$79))*Parameters!$B$37/12</f>
        <v>2776.319234097406</v>
      </c>
      <c r="G81" s="46">
        <f>(SUM($AA$18:$AA$29)-SUM($AA$36,$AA$42,$AA$48,$AA$54,$AA$60,$AA$66,$AA$72:$AA$79))*Parameters!$B$37/12</f>
        <v>2776.319234097406</v>
      </c>
      <c r="H81" s="46">
        <f>(SUM($AA$18:$AA$29)-SUM($AA$36,$AA$42,$AA$48,$AA$54,$AA$60,$AA$66,$AA$72:$AA$79))*Parameters!$B$37/12</f>
        <v>2776.319234097406</v>
      </c>
      <c r="I81" s="46">
        <f>(SUM($AA$18:$AA$29)-SUM($AA$36,$AA$42,$AA$48,$AA$54,$AA$60,$AA$66,$AA$72:$AA$79))*Parameters!$B$37/12</f>
        <v>2776.319234097406</v>
      </c>
      <c r="J81" s="46">
        <f>(SUM($AA$18:$AA$29)-SUM($AA$36,$AA$42,$AA$48,$AA$54,$AA$60,$AA$66,$AA$72:$AA$79))*Parameters!$B$37/12</f>
        <v>2776.319234097406</v>
      </c>
      <c r="K81" s="46">
        <f>(SUM($AA$18:$AA$29)-SUM($AA$36,$AA$42,$AA$48,$AA$54,$AA$60,$AA$66,$AA$72:$AA$79))*Parameters!$B$37/12</f>
        <v>2776.319234097406</v>
      </c>
      <c r="L81" s="46">
        <f>(SUM($AA$18:$AA$29)-SUM($AA$36,$AA$42,$AA$48,$AA$54,$AA$60,$AA$66,$AA$72:$AA$79))*Parameters!$B$37/12</f>
        <v>2776.319234097406</v>
      </c>
      <c r="M81" s="46">
        <f>(SUM($AA$18:$AA$29)-SUM($AA$36,$AA$42,$AA$48,$AA$54,$AA$60,$AA$66,$AA$72:$AA$79))*Parameters!$B$37/12</f>
        <v>2776.319234097406</v>
      </c>
      <c r="N81" s="46">
        <f>(SUM($AA$18:$AA$29)-SUM($AA$36,$AA$42,$AA$48,$AA$54,$AA$60,$AA$66,$AA$72:$AA$79))*Parameters!$B$37/12</f>
        <v>2776.319234097406</v>
      </c>
      <c r="O81" s="46">
        <f>(SUM($AA$18:$AA$29)-SUM($AA$36,$AA$42,$AA$48,$AA$54,$AA$60,$AA$66,$AA$72:$AA$79))*Parameters!$B$37/12</f>
        <v>2776.319234097406</v>
      </c>
      <c r="P81" s="46">
        <f>(SUM($AA$18:$AA$29)-SUM($AA$36,$AA$42,$AA$48,$AA$54,$AA$60,$AA$66,$AA$72:$AA$79))*Parameters!$B$37/12</f>
        <v>2776.319234097406</v>
      </c>
      <c r="Q81" s="46">
        <f>(SUM($AA$18:$AA$29)-SUM($AA$36,$AA$42,$AA$48,$AA$54,$AA$60,$AA$66,$AA$72:$AA$79))*Parameters!$B$37/12</f>
        <v>2776.319234097406</v>
      </c>
      <c r="R81" s="46">
        <f>(SUM($AA$18:$AA$29)-SUM($AA$36,$AA$42,$AA$48,$AA$54,$AA$60,$AA$66,$AA$72:$AA$79))*Parameters!$B$37/12</f>
        <v>2776.319234097406</v>
      </c>
      <c r="S81" s="46">
        <f>(SUM($AA$18:$AA$29)-SUM($AA$36,$AA$42,$AA$48,$AA$54,$AA$60,$AA$66,$AA$72:$AA$79))*Parameters!$B$37/12</f>
        <v>2776.319234097406</v>
      </c>
      <c r="T81" s="46">
        <f>(SUM($AA$18:$AA$29)-SUM($AA$36,$AA$42,$AA$48,$AA$54,$AA$60,$AA$66,$AA$72:$AA$79))*Parameters!$B$37/12</f>
        <v>2776.319234097406</v>
      </c>
      <c r="U81" s="46">
        <f>(SUM($AA$18:$AA$29)-SUM($AA$36,$AA$42,$AA$48,$AA$54,$AA$60,$AA$66,$AA$72:$AA$79))*Parameters!$B$37/12</f>
        <v>2776.319234097406</v>
      </c>
      <c r="V81" s="46">
        <f>(SUM($AA$18:$AA$29)-SUM($AA$36,$AA$42,$AA$48,$AA$54,$AA$60,$AA$66,$AA$72:$AA$79))*Parameters!$B$37/12</f>
        <v>2776.319234097406</v>
      </c>
      <c r="W81" s="46">
        <f>(SUM($AA$18:$AA$29)-SUM($AA$36,$AA$42,$AA$48,$AA$54,$AA$60,$AA$66,$AA$72:$AA$79))*Parameters!$B$37/12</f>
        <v>2776.319234097406</v>
      </c>
      <c r="X81" s="46">
        <f>(SUM($AA$18:$AA$29)-SUM($AA$36,$AA$42,$AA$48,$AA$54,$AA$60,$AA$66,$AA$72:$AA$79))*Parameters!$B$37/12</f>
        <v>2776.319234097406</v>
      </c>
      <c r="Y81" s="46">
        <f>(SUM($AA$18:$AA$29)-SUM($AA$36,$AA$42,$AA$48,$AA$54,$AA$60,$AA$66,$AA$72:$AA$79))*Parameters!$B$37/12</f>
        <v>2776.319234097406</v>
      </c>
      <c r="Z81" s="46">
        <f>SUMIF($B$13:$Y$13,"Yes",B81:Y81)</f>
        <v>38868.46927736368</v>
      </c>
      <c r="AA81" s="46">
        <f>SUM(B81:M81)</f>
        <v>33315.83080916887</v>
      </c>
      <c r="AB81" s="46">
        <f>SUM(B81:Y81)</f>
        <v>66631.66161833773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8940.319234097406</v>
      </c>
      <c r="C88" s="19">
        <f>SUM(C72:C82,C66,C60,C54,C48,C42,C36)</f>
        <v>4640.319234097406</v>
      </c>
      <c r="D88" s="19">
        <f>SUM(D72:D82,D66,D60,D54,D48,D42,D36)</f>
        <v>4640.319234097406</v>
      </c>
      <c r="E88" s="19">
        <f>SUM(E72:E82,E66,E60,E54,E48,E42,E36)</f>
        <v>2776.319234097406</v>
      </c>
      <c r="F88" s="19">
        <f>SUM(F72:F82,F66,F60,F54,F48,F42,F36)</f>
        <v>30640.31923409741</v>
      </c>
      <c r="G88" s="19">
        <f>SUM(G72:G82,G66,G60,G54,G48,G42,G36)</f>
        <v>4640.319234097406</v>
      </c>
      <c r="H88" s="19">
        <f>SUM(H72:H82,H66,H60,H54,H48,H42,H36)</f>
        <v>8940.319234097406</v>
      </c>
      <c r="I88" s="19">
        <f>SUM(I72:I82,I66,I60,I54,I48,I42,I36)</f>
        <v>4640.319234097406</v>
      </c>
      <c r="J88" s="19">
        <f>SUM(J72:J82,J66,J60,J54,J48,J42,J36)</f>
        <v>14640.31923409741</v>
      </c>
      <c r="K88" s="19">
        <f>SUM(K72:K82,K66,K60,K54,K48,K42,K36)</f>
        <v>2776.319234097406</v>
      </c>
      <c r="L88" s="19">
        <f>SUM(L72:L82,L66,L60,L54,L48,L42,L36)</f>
        <v>30640.31923409741</v>
      </c>
      <c r="M88" s="19">
        <f>SUM(M72:M82,M66,M60,M54,M48,M42,M36)</f>
        <v>4640.319234097406</v>
      </c>
      <c r="N88" s="19">
        <f>SUM(N72:N82,N66,N60,N54,N48,N42,N36)</f>
        <v>8940.319234097406</v>
      </c>
      <c r="O88" s="19">
        <f>SUM(O72:O82,O66,O60,O54,O48,O42,O36)</f>
        <v>4640.319234097406</v>
      </c>
      <c r="P88" s="19">
        <f>SUM(P72:P82,P66,P60,P54,P48,P42,P36)</f>
        <v>4640.319234097406</v>
      </c>
      <c r="Q88" s="19">
        <f>SUM(Q72:Q82,Q66,Q60,Q54,Q48,Q42,Q36)</f>
        <v>2776.319234097406</v>
      </c>
      <c r="R88" s="19">
        <f>SUM(R72:R82,R66,R60,R54,R48,R42,R36)</f>
        <v>30640.31923409741</v>
      </c>
      <c r="S88" s="19">
        <f>SUM(S72:S82,S66,S60,S54,S48,S42,S36)</f>
        <v>4640.319234097406</v>
      </c>
      <c r="T88" s="19">
        <f>SUM(T72:T82,T66,T60,T54,T48,T42,T36)</f>
        <v>8940.319234097406</v>
      </c>
      <c r="U88" s="19">
        <f>SUM(U72:U82,U66,U60,U54,U48,U42,U36)</f>
        <v>4640.319234097406</v>
      </c>
      <c r="V88" s="19">
        <f>SUM(V72:V82,V66,V60,V54,V48,V42,V36)</f>
        <v>14640.31923409741</v>
      </c>
      <c r="W88" s="19">
        <f>SUM(W72:W82,W66,W60,W54,W48,W42,W36)</f>
        <v>2776.319234097406</v>
      </c>
      <c r="X88" s="19">
        <f>SUM(X72:X82,X66,X60,X54,X48,X42,X36)</f>
        <v>30640.31923409741</v>
      </c>
      <c r="Y88" s="19">
        <f>SUM(Y72:Y82,Y66,Y60,Y54,Y48,Y42,Y36)</f>
        <v>4640.319234097406</v>
      </c>
      <c r="Z88" s="19">
        <f>SUMIF($B$13:$Y$13,"Yes",B88:Y88)</f>
        <v>136136.4692773637</v>
      </c>
      <c r="AA88" s="19">
        <f>SUM(B88:M88)</f>
        <v>122555.8308091689</v>
      </c>
      <c r="AB88" s="19">
        <f>SUM(B88:Y88)</f>
        <v>245111.6616183377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530000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40</v>
      </c>
    </row>
    <row r="27" spans="1:48">
      <c r="A27" s="14" t="s">
        <v>110</v>
      </c>
    </row>
    <row r="29" spans="1:48">
      <c r="A29" s="45" t="s">
        <v>111</v>
      </c>
      <c r="B29" s="156">
        <v>0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>
        <v>10000</v>
      </c>
    </row>
    <row r="42" spans="1:48">
      <c r="A42" s="55" t="s">
        <v>123</v>
      </c>
      <c r="B42" s="139" t="s">
        <v>124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121</v>
      </c>
    </row>
    <row r="45" spans="1:48">
      <c r="A45" s="56" t="s">
        <v>128</v>
      </c>
      <c r="B45" s="161"/>
    </row>
    <row r="46" spans="1:48" customHeight="1" ht="30">
      <c r="A46" s="57" t="s">
        <v>129</v>
      </c>
      <c r="B46" s="161">
        <v>200000</v>
      </c>
    </row>
    <row r="47" spans="1:48" customHeight="1" ht="30">
      <c r="A47" s="57" t="s">
        <v>130</v>
      </c>
      <c r="B47" s="161">
        <v>80000</v>
      </c>
    </row>
    <row r="48" spans="1:48" customHeight="1" ht="30">
      <c r="A48" s="57" t="s">
        <v>131</v>
      </c>
      <c r="B48" s="161">
        <v>100000</v>
      </c>
    </row>
    <row r="49" spans="1:48" customHeight="1" ht="30">
      <c r="A49" s="57" t="s">
        <v>132</v>
      </c>
      <c r="B49" s="161">
        <v>150000</v>
      </c>
    </row>
    <row r="50" spans="1:48">
      <c r="A50" s="43"/>
      <c r="B50" s="36"/>
    </row>
    <row r="51" spans="1:48">
      <c r="A51" s="58" t="s">
        <v>133</v>
      </c>
      <c r="B51" s="161">
        <v>30000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150000</v>
      </c>
      <c r="B56" s="159">
        <v>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>
        <v>130000</v>
      </c>
      <c r="B57" s="157">
        <v>0</v>
      </c>
      <c r="C57" s="164" t="s">
        <v>144</v>
      </c>
      <c r="D57" s="165" t="s">
        <v>142</v>
      </c>
      <c r="E57" s="165" t="s">
        <v>92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147</v>
      </c>
      <c r="C65" s="10" t="s">
        <v>148</v>
      </c>
    </row>
    <row r="66" spans="1:48">
      <c r="A66" s="142" t="s">
        <v>149</v>
      </c>
      <c r="B66" s="159">
        <v>248904</v>
      </c>
      <c r="C66" s="163">
        <v>219866</v>
      </c>
      <c r="D66" s="49">
        <f>INDEX(Parameters!$D$79:$D$90,MATCH(Inputs!A66,Parameters!$C$79:$C$90,0))</f>
        <v>11</v>
      </c>
    </row>
    <row r="67" spans="1:48">
      <c r="A67" s="143" t="s">
        <v>150</v>
      </c>
      <c r="B67" s="157">
        <v>77878</v>
      </c>
      <c r="C67" s="165">
        <v>57494</v>
      </c>
      <c r="D67" s="49">
        <f>INDEX(Parameters!$D$79:$D$90,MATCH(Inputs!A67,Parameters!$C$79:$C$90,0))</f>
        <v>12</v>
      </c>
    </row>
    <row r="68" spans="1:48">
      <c r="A68" s="143" t="s">
        <v>124</v>
      </c>
      <c r="B68" s="157">
        <v>19854</v>
      </c>
      <c r="C68" s="165">
        <v>12300</v>
      </c>
      <c r="D68" s="49">
        <f>INDEX(Parameters!$D$79:$D$90,MATCH(Inputs!A68,Parameters!$C$79:$C$90,0))</f>
        <v>1</v>
      </c>
    </row>
    <row r="69" spans="1:48">
      <c r="A69" s="143" t="s">
        <v>151</v>
      </c>
      <c r="B69" s="157">
        <v>31504</v>
      </c>
      <c r="C69" s="165">
        <v>21619</v>
      </c>
      <c r="D69" s="49">
        <f>INDEX(Parameters!$D$79:$D$90,MATCH(Inputs!A69,Parameters!$C$79:$C$90,0))</f>
        <v>2</v>
      </c>
    </row>
    <row r="70" spans="1:48">
      <c r="A70" s="143" t="s">
        <v>152</v>
      </c>
      <c r="B70" s="157">
        <v>116424</v>
      </c>
      <c r="C70" s="165">
        <v>78566</v>
      </c>
      <c r="D70" s="49">
        <f>INDEX(Parameters!$D$79:$D$90,MATCH(Inputs!A70,Parameters!$C$79:$C$90,0))</f>
        <v>3</v>
      </c>
    </row>
    <row r="71" spans="1:48">
      <c r="A71" s="144" t="s">
        <v>153</v>
      </c>
      <c r="B71" s="158">
        <v>95201</v>
      </c>
      <c r="C71" s="167">
        <v>75024</v>
      </c>
      <c r="D71" s="49">
        <f>INDEX(Parameters!$D$79:$D$90,MATCH(Inputs!A71,Parameters!$C$79:$C$90,0))</f>
        <v>4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19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8558.01473327987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172529.5770229222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4300</v>
      </c>
      <c r="Z4" s="33">
        <f>IF(Inputs!I7=Parameters!$F$78,H4*INDEX(Parameters!$A$3:$AI$18,MATCH(Calculations!A4,Parameters!$A$3:$A$18,0),MATCH(Parameters!$Q$3,Parameters!$A$3:$AI$3,0)),0)</f>
        <v>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130000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42920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42917</v>
      </c>
      <c r="F33" t="s">
        <v>159</v>
      </c>
      <c r="G33" s="128">
        <f>IF(Inputs!B79="","",DATE(YEAR(Inputs!B79),MONTH(Inputs!B79),DAY(Inputs!B79)))</f>
        <v>42886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42951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42948</v>
      </c>
      <c r="F34" t="s">
        <v>161</v>
      </c>
      <c r="G34" s="128">
        <f>IF(Inputs!B80="","",DATE(YEAR(Inputs!B80),MONTH(Inputs!B80),DAY(Inputs!B80)))</f>
        <v>42920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42982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42979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43012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43009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43043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43040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43073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43070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43104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43101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43135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43132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43163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43160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43194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43191</v>
      </c>
      <c r="F42" t="s">
        <v>228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43224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43255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121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315</v>
      </c>
      <c r="H52" s="12" t="s">
        <v>126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229</v>
      </c>
      <c r="E53" s="10" t="s">
        <v>188</v>
      </c>
      <c r="F53" s="10" t="s">
        <v>248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121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121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121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121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121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121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121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166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121</v>
      </c>
      <c r="F77" s="12" t="s">
        <v>121</v>
      </c>
      <c r="G77" s="12" t="s">
        <v>351</v>
      </c>
      <c r="H77" s="12" t="s">
        <v>126</v>
      </c>
      <c r="I77" s="12" t="s">
        <v>352</v>
      </c>
      <c r="J77" s="136" t="s">
        <v>353</v>
      </c>
      <c r="K77" s="12" t="s">
        <v>121</v>
      </c>
      <c r="AJ77" s="12"/>
    </row>
    <row r="78" spans="1:36">
      <c r="A78" t="s">
        <v>121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121</v>
      </c>
      <c r="AJ78" s="12"/>
    </row>
    <row r="79" spans="1:36">
      <c r="B79" s="176">
        <v>10</v>
      </c>
      <c r="C79" s="12" t="s">
        <v>124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121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