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<sst xmlns="http://schemas.openxmlformats.org/spreadsheetml/2006/main" uniqueCount="367">
  <si>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</si>
  <si>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</si>
  <si>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</si>
  <si>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</si>
  <si>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</si>
  <si>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</si>
  <si>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</si>
  <si>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</si>
  <si>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</si>
  <si>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</si>
  <si>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</si>
  <si>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</si>
  <si>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</si>
  <si>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</si>
  <si>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</si>
  <si>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</si>
  <si>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</si>
  <si>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</si>
  <si>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</si>
  <si>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</si>
  <si>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</si>
  <si>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</si>
  <si>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</si>
  <si>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</si>
  <si>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</si>
  <si>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</si>
  <si>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</si>
  <si>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</si>
  <si>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</si>
  <si>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</si>
  <si>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</si>
  <si>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</si>
  <si>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</si>
  <si>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</si>
  <si>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</si>
  <si>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</si>
  <si>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</si>
  <si>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</si>
  <si>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</si>
  <si>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</si>
  <si>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</si>
  <si>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</si>
  <si>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</si>
  <si>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</si>
  <si>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</si>
  <si>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</si>
  <si>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</si>
  <si>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</si>
  <si>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</si>
  <si>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</si>
  <si>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</si>
  <si>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</si>
  <si>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</si>
  <si>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</si>
  <si>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</si>
  <si>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</si>
  <si>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</si>
  <si>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</si>
  <si>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</si>
  <si>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</si>
  <si>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</si>
  <si>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</si>
  <si>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</si>
  <si>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</si>
  <si>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</si>
  <si>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</si>
  <si>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</si>
  <si>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</si>
  <si>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</si>
  <si>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</si>
  <si>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</si>
  <si>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</si>
  <si>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</si>
  <si>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</si>
  <si>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</si>
  <si>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</si>
  <si>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</si>
  <si>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</si>
  <si>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</si>
  <si>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</si>
  <si>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</si>
  <si>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</si>
  <si>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</si>
  <si>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</si>
  <si>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</si>
  <si>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</si>
  <si>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</si>
  <si>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</si>
  <si>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</si>
  <si>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</si>
  <si>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Shop_common variety</t>
  </si>
  <si>
    <t>No</t>
  </si>
  <si>
    <t>Yes</t>
  </si>
  <si>
    <t>every month</t>
  </si>
  <si>
    <t>Other crops</t>
  </si>
  <si>
    <t>Other farmers</t>
  </si>
  <si>
    <t>August</t>
  </si>
  <si>
    <t>NGO</t>
  </si>
  <si>
    <t>Yes both manure and inorganic</t>
  </si>
  <si>
    <t>Yes without the use of a pump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</si>
  <si>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</si>
  <si>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</si>
  <si>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</si>
  <si>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</si>
  <si>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</si>
  <si>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</si>
  <si>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</si>
  <si>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</si>
  <si>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</si>
  <si>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</si>
  <si>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</si>
  <si>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</si>
  <si>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</si>
  <si>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</si>
  <si>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</si>
  <si>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</si>
  <si>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</si>
  <si>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</si>
  <si>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bread depot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</si>
  <si>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</si>
  <si>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</si>
  <si>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</si>
  <si>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</si>
  <si>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</si>
  <si>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</si>
  <si>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</si>
  <si>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</si>
  <si>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</si>
  <si>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</si>
  <si>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</si>
  <si>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</si>
  <si>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</si>
  <si>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</si>
  <si>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</si>
  <si>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</si>
  <si>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</si>
  <si>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</si>
  <si>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</si>
  <si>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</si>
  <si>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</si>
  <si>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</si>
  <si>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</si>
  <si>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</si>
  <si>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</si>
  <si>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</si>
  <si>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</si>
  <si>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</si>
  <si>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</si>
  <si>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</si>
  <si>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June</t>
  </si>
  <si>
    <t>July</t>
  </si>
  <si>
    <t>September</t>
  </si>
  <si>
    <t>October</t>
  </si>
  <si>
    <t>November</t>
  </si>
  <si>
    <t>Loan info</t>
  </si>
  <si>
    <t>Branch ID</t>
  </si>
  <si>
    <t>Submission date</t>
  </si>
  <si>
    <t>2017/5/31</t>
  </si>
  <si>
    <t>Loan terms</t>
  </si>
  <si>
    <t>Expected disbursement date</t>
  </si>
  <si>
    <t>2017/6/8</t>
  </si>
  <si>
    <t>Expected first repayment date</t>
  </si>
  <si>
    <t>2017/7/6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</si>
  <si>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</si>
  <si>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</si>
  <si>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</si>
  <si>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</si>
  <si>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</si>
  <si>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</si>
  <si>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</si>
  <si>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</si>
  <si>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</si>
  <si>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</si>
  <si>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</si>
  <si>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</si>
  <si>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</si>
  <si>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</si>
  <si>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</si>
  <si>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</si>
  <si>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</si>
  <si>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</si>
  <si>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</si>
  <si>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</si>
  <si>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</si>
  <si>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</si>
  <si>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</si>
  <si>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</si>
  <si>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</si>
  <si>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</si>
  <si>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</si>
  <si>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</si>
  <si>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</si>
  <si>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</si>
  <si>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</si>
  <si>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</si>
  <si>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</si>
  <si>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</si>
  <si>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</si>
  <si>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</si>
  <si>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</si>
  <si>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</si>
  <si>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</si>
  <si>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</si>
  <si>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</si>
  <si>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</si>
  <si>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</si>
  <si>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</si>
  <si>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</si>
  <si>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</si>
  <si>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</si>
  <si>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</si>
  <si>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</si>
  <si>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</si>
  <si>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</si>
  <si>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</si>
  <si>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</si>
  <si>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</si>
  <si>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</si>
  <si>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</si>
  <si>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</si>
  <si>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</si>
  <si>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</si>
  <si>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</si>
  <si>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</si>
  <si>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</si>
  <si>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</si>
  <si>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</si>
  <si>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</si>
  <si>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</si>
  <si>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</si>
  <si>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</si>
  <si>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</si>
  <si>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</si>
  <si>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</si>
  <si>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</si>
  <si>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</si>
  <si>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</si>
  <si>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</si>
  <si>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</si>
  <si>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</si>
  <si>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</si>
  <si>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</si>
  <si>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</si>
  <si>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</si>
  <si>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</si>
  <si>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</si>
  <si>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</si>
  <si>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</si>
  <si>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</si>
  <si>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</si>
  <si>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</si>
  <si>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</si>
  <si>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</si>
  <si>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</si>
  <si>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</si>
  <si>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</si>
  <si>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</si>
  <si>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</si>
  <si>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</si>
  <si>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</si>
  <si>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</si>
  <si>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</si>
  <si>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</si>
  <si>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</si>
  <si>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</si>
  <si>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</si>
  <si>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</si>
  <si>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</si>
  <si>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</si>
  <si>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</si>
  <si>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</si>
  <si>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</si>
  <si>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</si>
  <si>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</si>
  <si>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</si>
  <si>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</si>
  <si>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</si>
  <si>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</si>
  <si>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</si>
  <si>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</si>
  <si>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</si>
  <si>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</si>
  <si>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</si>
  <si>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</si>
  <si>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</si>
  <si>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</si>
  <si>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</si>
  <si>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</si>
  <si>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</si>
  <si>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</si>
  <si>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</si>
  <si>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</si>
  <si>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</si>
  <si>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</si>
  <si>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</si>
  <si>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</si>
  <si>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</si>
  <si>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</si>
  <si>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</si>
  <si>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</si>
  <si>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</si>
  <si>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</si>
  <si>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</si>
  <si>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</si>
  <si>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</si>
  <si>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</si>
  <si>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</si>
  <si>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</si>
  <si>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</si>
  <si>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</si>
  <si>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</si>
  <si>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</si>
  <si>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</si>
  <si>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</si>
  <si>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</si>
  <si>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</si>
  <si>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</si>
  <si>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</si>
  <si>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</si>
  <si>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</si>
  <si>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</si>
  <si>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</si>
  <si>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</si>
  <si>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</si>
  <si>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</si>
  <si>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</si>
  <si>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</si>
  <si>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</si>
  <si>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</si>
  <si>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</si>
  <si>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</si>
  <si>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</si>
  <si>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</si>
  <si>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</si>
  <si>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</si>
  <si>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</si>
  <si>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</si>
  <si>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</si>
  <si>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</si>
  <si>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</si>
  <si>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</si>
  <si>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</si>
  <si>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</si>
  <si>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</si>
  <si>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</si>
  <si>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</si>
  <si>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</si>
  <si>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</si>
  <si>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</si>
  <si>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</si>
  <si>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</si>
  <si>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</si>
  <si>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</si>
  <si>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</si>
  <si>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</si>
  <si>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Sometimes</t>
  </si>
  <si>
    <t>Weeks</t>
  </si>
  <si>
    <t>January</t>
  </si>
  <si>
    <t>Yes inorganic fertilizers</t>
  </si>
  <si>
    <t>Yes using a solar pump</t>
  </si>
  <si>
    <t>Always</t>
  </si>
  <si>
    <t>February</t>
  </si>
  <si>
    <t>Shop_certified variety</t>
  </si>
  <si>
    <t>March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</si>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</sst>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bread depot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0.5389505992399882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May 2017</v>
      </c>
    </row>
    <row r="13" spans="1:7">
      <c r="B13" s="1" t="s">
        <v>8</v>
      </c>
      <c r="C13" s="67">
        <f>IFERROR(Output!B107/Output!B101,"")</f>
        <v>0.1486658195679797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9833.333333333334</v>
      </c>
    </row>
    <row r="17" spans="1:7">
      <c r="B17" s="1" t="s">
        <v>11</v>
      </c>
      <c r="C17" s="36">
        <f>SUM(Output!B6:M6)</f>
        <v>101952</v>
      </c>
    </row>
    <row r="18" spans="1:7">
      <c r="B18" s="1" t="s">
        <v>12</v>
      </c>
      <c r="C18" s="36">
        <f>MIN(Output!B6:M6)</f>
        <v>8496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2017</v>
      </c>
    </row>
    <row r="20" spans="1:7">
      <c r="B20" s="1" t="s">
        <v>14</v>
      </c>
      <c r="C20" s="36">
        <f>MAX(Output!B6:M6)</f>
        <v>8496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42856</v>
      </c>
      <c r="C5" s="17">
        <f>DATE(YEAR(B5),MONTH(B5)+1,DAY(B5))</f>
        <v>42887</v>
      </c>
      <c r="D5" s="17">
        <f>DATE(YEAR(C5),MONTH(C5)+1,DAY(C5))</f>
        <v>42917</v>
      </c>
      <c r="E5" s="17">
        <f>DATE(YEAR(D5),MONTH(D5)+1,DAY(D5))</f>
        <v>42948</v>
      </c>
      <c r="F5" s="17">
        <f>DATE(YEAR(E5),MONTH(E5)+1,DAY(E5))</f>
        <v>42979</v>
      </c>
      <c r="G5" s="17">
        <f>DATE(YEAR(F5),MONTH(F5)+1,DAY(F5))</f>
        <v>43009</v>
      </c>
      <c r="H5" s="17">
        <f>DATE(YEAR(G5),MONTH(G5)+1,DAY(G5))</f>
        <v>43040</v>
      </c>
      <c r="I5" s="17">
        <f>DATE(YEAR(H5),MONTH(H5)+1,DAY(H5))</f>
        <v>43070</v>
      </c>
      <c r="J5" s="17">
        <f>DATE(YEAR(I5),MONTH(I5)+1,DAY(I5))</f>
        <v>43101</v>
      </c>
      <c r="K5" s="17">
        <f>DATE(YEAR(J5),MONTH(J5)+1,DAY(J5))</f>
        <v>43132</v>
      </c>
      <c r="L5" s="17">
        <f>DATE(YEAR(K5),MONTH(K5)+1,DAY(K5))</f>
        <v>43160</v>
      </c>
      <c r="M5" s="17">
        <f>DATE(YEAR(L5),MONTH(L5)+1,DAY(L5))</f>
        <v>43191</v>
      </c>
      <c r="N5" s="17">
        <f>DATE(YEAR(M5),MONTH(M5)+1,DAY(M5))</f>
        <v>43221</v>
      </c>
      <c r="O5" s="17">
        <f>DATE(YEAR(N5),MONTH(N5)+1,DAY(N5))</f>
        <v>43252</v>
      </c>
      <c r="P5" s="17">
        <f>DATE(YEAR(O5),MONTH(O5)+1,DAY(O5))</f>
        <v>43282</v>
      </c>
      <c r="Q5" s="17">
        <f>DATE(YEAR(P5),MONTH(P5)+1,DAY(P5))</f>
        <v>43313</v>
      </c>
      <c r="R5" s="17">
        <f>DATE(YEAR(Q5),MONTH(Q5)+1,DAY(Q5))</f>
        <v>43344</v>
      </c>
      <c r="S5" s="17">
        <f>DATE(YEAR(R5),MONTH(R5)+1,DAY(R5))</f>
        <v>43374</v>
      </c>
      <c r="T5" s="17">
        <f>DATE(YEAR(S5),MONTH(S5)+1,DAY(S5))</f>
        <v>43405</v>
      </c>
      <c r="U5" s="17">
        <f>DATE(YEAR(T5),MONTH(T5)+1,DAY(T5))</f>
        <v>43435</v>
      </c>
      <c r="V5" s="17">
        <f>DATE(YEAR(U5),MONTH(U5)+1,DAY(U5))</f>
        <v>43466</v>
      </c>
      <c r="W5" s="17">
        <f>DATE(YEAR(V5),MONTH(V5)+1,DAY(V5))</f>
        <v>43497</v>
      </c>
      <c r="X5" s="17">
        <f>DATE(YEAR(W5),MONTH(W5)+1,DAY(W5))</f>
        <v>43525</v>
      </c>
      <c r="Y5" s="17">
        <f>DATE(YEAR(X5),MONTH(X5)+1,DAY(X5))</f>
        <v>43556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43586</v>
      </c>
    </row>
    <row r="6" spans="1:30" customHeight="1" ht="15.75">
      <c r="A6" s="50" t="s">
        <v>27</v>
      </c>
      <c r="B6" s="51">
        <f>B30-B88</f>
        <v>8496</v>
      </c>
      <c r="C6" s="51">
        <f>C30-C88</f>
        <v>8496</v>
      </c>
      <c r="D6" s="51">
        <f>D30-D88</f>
        <v>8496</v>
      </c>
      <c r="E6" s="51">
        <f>E30-E88</f>
        <v>8496</v>
      </c>
      <c r="F6" s="51">
        <f>F30-F88</f>
        <v>8496</v>
      </c>
      <c r="G6" s="51">
        <f>G30-G88</f>
        <v>8496</v>
      </c>
      <c r="H6" s="51">
        <f>H30-H88</f>
        <v>8496</v>
      </c>
      <c r="I6" s="51">
        <f>I30-I88</f>
        <v>8496</v>
      </c>
      <c r="J6" s="51">
        <f>J30-J88</f>
        <v>8496</v>
      </c>
      <c r="K6" s="51">
        <f>K30-K88</f>
        <v>8496</v>
      </c>
      <c r="L6" s="51">
        <f>L30-L88</f>
        <v>8496</v>
      </c>
      <c r="M6" s="51">
        <f>M30-M88</f>
        <v>8496</v>
      </c>
      <c r="N6" s="51">
        <f>N30-N88</f>
        <v>8496</v>
      </c>
      <c r="O6" s="51">
        <f>O30-O88</f>
        <v>8496</v>
      </c>
      <c r="P6" s="51">
        <f>P30-P88</f>
        <v>8496</v>
      </c>
      <c r="Q6" s="51">
        <f>Q30-Q88</f>
        <v>8496</v>
      </c>
      <c r="R6" s="51">
        <f>R30-R88</f>
        <v>8496</v>
      </c>
      <c r="S6" s="51">
        <f>S30-S88</f>
        <v>8496</v>
      </c>
      <c r="T6" s="51">
        <f>T30-T88</f>
        <v>8496</v>
      </c>
      <c r="U6" s="51">
        <f>U30-U88</f>
        <v>8496</v>
      </c>
      <c r="V6" s="51">
        <f>V30-V88</f>
        <v>8496</v>
      </c>
      <c r="W6" s="51">
        <f>W30-W88</f>
        <v>8496</v>
      </c>
      <c r="X6" s="51">
        <f>X30-X88</f>
        <v>8496</v>
      </c>
      <c r="Y6" s="51">
        <f>Y30-Y88</f>
        <v>8496</v>
      </c>
      <c r="Z6" s="51">
        <f>SUMIF($B$13:$Y$13,"Yes",B6:Y6)</f>
        <v>118944</v>
      </c>
      <c r="AA6" s="51">
        <f>AA30-AA88</f>
        <v>101952</v>
      </c>
      <c r="AB6" s="51">
        <f>AB30-AB88</f>
        <v>203904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8000</v>
      </c>
      <c r="D7" s="80">
        <f>IF(ISERROR(VLOOKUP(MONTH(D5),Inputs!$D$66:$D$71,1,0)),"",INDEX(Inputs!$B$66:$B$71,MATCH(MONTH(Output!D5),Inputs!$D$66:$D$71,0))-INDEX(Inputs!$C$66:$C$71,MATCH(MONTH(Output!D5),Inputs!$D$66:$D$71,0)))</f>
        <v>30000</v>
      </c>
      <c r="E7" s="80">
        <f>IF(ISERROR(VLOOKUP(MONTH(E5),Inputs!$D$66:$D$71,1,0)),"",INDEX(Inputs!$B$66:$B$71,MATCH(MONTH(Output!E5),Inputs!$D$66:$D$71,0))-INDEX(Inputs!$C$66:$C$71,MATCH(MONTH(Output!E5),Inputs!$D$66:$D$71,0)))</f>
        <v>18000</v>
      </c>
      <c r="F7" s="80">
        <f>IF(ISERROR(VLOOKUP(MONTH(F5),Inputs!$D$66:$D$71,1,0)),"",INDEX(Inputs!$B$66:$B$71,MATCH(MONTH(Output!F5),Inputs!$D$66:$D$71,0))-INDEX(Inputs!$C$66:$C$71,MATCH(MONTH(Output!F5),Inputs!$D$66:$D$71,0)))</f>
        <v>12000</v>
      </c>
      <c r="G7" s="80">
        <f>IF(ISERROR(VLOOKUP(MONTH(G5),Inputs!$D$66:$D$71,1,0)),"",INDEX(Inputs!$B$66:$B$71,MATCH(MONTH(Output!G5),Inputs!$D$66:$D$71,0))-INDEX(Inputs!$C$66:$C$71,MATCH(MONTH(Output!G5),Inputs!$D$66:$D$71,0)))</f>
        <v>12000</v>
      </c>
      <c r="H7" s="80">
        <f>IF(ISERROR(VLOOKUP(MONTH(H5),Inputs!$D$66:$D$71,1,0)),"",INDEX(Inputs!$B$66:$B$71,MATCH(MONTH(Output!H5),Inputs!$D$66:$D$71,0))-INDEX(Inputs!$C$66:$C$71,MATCH(MONTH(Output!H5),Inputs!$D$66:$D$71,0)))</f>
        <v>32000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8000</v>
      </c>
      <c r="P7" s="80">
        <f>IF(ISERROR(VLOOKUP(MONTH(P5),Inputs!$D$66:$D$71,1,0)),"",INDEX(Inputs!$B$66:$B$71,MATCH(MONTH(Output!P5),Inputs!$D$66:$D$71,0))-INDEX(Inputs!$C$66:$C$71,MATCH(MONTH(Output!P5),Inputs!$D$66:$D$71,0)))</f>
        <v>30000</v>
      </c>
      <c r="Q7" s="80">
        <f>IF(ISERROR(VLOOKUP(MONTH(Q5),Inputs!$D$66:$D$71,1,0)),"",INDEX(Inputs!$B$66:$B$71,MATCH(MONTH(Output!Q5),Inputs!$D$66:$D$71,0))-INDEX(Inputs!$C$66:$C$71,MATCH(MONTH(Output!Q5),Inputs!$D$66:$D$71,0)))</f>
        <v>18000</v>
      </c>
      <c r="R7" s="80">
        <f>IF(ISERROR(VLOOKUP(MONTH(R5),Inputs!$D$66:$D$71,1,0)),"",INDEX(Inputs!$B$66:$B$71,MATCH(MONTH(Output!R5),Inputs!$D$66:$D$71,0))-INDEX(Inputs!$C$66:$C$71,MATCH(MONTH(Output!R5),Inputs!$D$66:$D$71,0)))</f>
        <v>12000</v>
      </c>
      <c r="S7" s="80">
        <f>IF(ISERROR(VLOOKUP(MONTH(S5),Inputs!$D$66:$D$71,1,0)),"",INDEX(Inputs!$B$66:$B$71,MATCH(MONTH(Output!S5),Inputs!$D$66:$D$71,0))-INDEX(Inputs!$C$66:$C$71,MATCH(MONTH(Output!S5),Inputs!$D$66:$D$71,0)))</f>
        <v>12000</v>
      </c>
      <c r="T7" s="80">
        <f>IF(ISERROR(VLOOKUP(MONTH(T5),Inputs!$D$66:$D$71,1,0)),"",INDEX(Inputs!$B$66:$B$71,MATCH(MONTH(Output!T5),Inputs!$D$66:$D$71,0))-INDEX(Inputs!$C$66:$C$71,MATCH(MONTH(Output!T5),Inputs!$D$66:$D$71,0)))</f>
        <v>32000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100000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9833.333333333334</v>
      </c>
      <c r="E10" s="37">
        <f>SUMPRODUCT((Calculations!$D$33:$D$84=Output!E5)+0,Calculations!$C$33:$C$84)</f>
        <v>9833.333333333334</v>
      </c>
      <c r="F10" s="37">
        <f>SUMPRODUCT((Calculations!$D$33:$D$84=Output!F5)+0,Calculations!$C$33:$C$84)</f>
        <v>9833.333333333334</v>
      </c>
      <c r="G10" s="37">
        <f>SUMPRODUCT((Calculations!$D$33:$D$84=Output!G5)+0,Calculations!$C$33:$C$84)</f>
        <v>9833.333333333334</v>
      </c>
      <c r="H10" s="37">
        <f>SUMPRODUCT((Calculations!$D$33:$D$84=Output!H5)+0,Calculations!$C$33:$C$84)</f>
        <v>9833.333333333334</v>
      </c>
      <c r="I10" s="37">
        <f>SUMPRODUCT((Calculations!$D$33:$D$84=Output!I5)+0,Calculations!$C$33:$C$84)</f>
        <v>9833.333333333334</v>
      </c>
      <c r="J10" s="37">
        <f>SUMPRODUCT((Calculations!$D$33:$D$84=Output!J5)+0,Calculations!$C$33:$C$84)</f>
        <v>9833.333333333334</v>
      </c>
      <c r="K10" s="37">
        <f>SUMPRODUCT((Calculations!$D$33:$D$84=Output!K5)+0,Calculations!$C$33:$C$84)</f>
        <v>9833.333333333334</v>
      </c>
      <c r="L10" s="37">
        <f>SUMPRODUCT((Calculations!$D$33:$D$84=Output!L5)+0,Calculations!$C$33:$C$84)</f>
        <v>9833.333333333334</v>
      </c>
      <c r="M10" s="37">
        <f>SUMPRODUCT((Calculations!$D$33:$D$84=Output!M5)+0,Calculations!$C$33:$C$84)</f>
        <v>9833.333333333334</v>
      </c>
      <c r="N10" s="37">
        <f>SUMPRODUCT((Calculations!$D$33:$D$84=Output!N5)+0,Calculations!$C$33:$C$84)</f>
        <v>9833.333333333334</v>
      </c>
      <c r="O10" s="37">
        <f>SUMPRODUCT((Calculations!$D$33:$D$84=Output!O5)+0,Calculations!$C$33:$C$84)</f>
        <v>9833.333333333334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118000</v>
      </c>
      <c r="AA10" s="37">
        <f>SUM(B10:M10)</f>
        <v>98333.33333333333</v>
      </c>
      <c r="AB10" s="37">
        <f>SUM(B10:Y10)</f>
        <v>118000</v>
      </c>
    </row>
    <row r="11" spans="1:30" customHeight="1" ht="15.75">
      <c r="A11" s="43" t="s">
        <v>31</v>
      </c>
      <c r="B11" s="80">
        <f>B6+B9-B10</f>
        <v>8496</v>
      </c>
      <c r="C11" s="80">
        <f>C6+C9-C10</f>
        <v>108496</v>
      </c>
      <c r="D11" s="80">
        <f>D6+D9-D10</f>
        <v>-1337.333333333334</v>
      </c>
      <c r="E11" s="80">
        <f>E6+E9-E10</f>
        <v>-1337.333333333334</v>
      </c>
      <c r="F11" s="80">
        <f>F6+F9-F10</f>
        <v>-1337.333333333334</v>
      </c>
      <c r="G11" s="80">
        <f>G6+G9-G10</f>
        <v>-1337.333333333334</v>
      </c>
      <c r="H11" s="80">
        <f>H6+H9-H10</f>
        <v>-1337.333333333334</v>
      </c>
      <c r="I11" s="80">
        <f>I6+I9-I10</f>
        <v>-1337.333333333334</v>
      </c>
      <c r="J11" s="80">
        <f>J6+J9-J10</f>
        <v>-1337.333333333334</v>
      </c>
      <c r="K11" s="80">
        <f>K6+K9-K10</f>
        <v>-1337.333333333334</v>
      </c>
      <c r="L11" s="80">
        <f>L6+L9-L10</f>
        <v>-1337.333333333334</v>
      </c>
      <c r="M11" s="80">
        <f>M6+M9-M10</f>
        <v>-1337.333333333334</v>
      </c>
      <c r="N11" s="80">
        <f>N6+N9-N10</f>
        <v>-1337.333333333334</v>
      </c>
      <c r="O11" s="80">
        <f>O6+O9-O10</f>
        <v>-1337.333333333334</v>
      </c>
      <c r="P11" s="80">
        <f>P6+P9-P10</f>
        <v>8496</v>
      </c>
      <c r="Q11" s="80">
        <f>Q6+Q9-Q10</f>
        <v>8496</v>
      </c>
      <c r="R11" s="80">
        <f>R6+R9-R10</f>
        <v>8496</v>
      </c>
      <c r="S11" s="80">
        <f>S6+S9-S10</f>
        <v>8496</v>
      </c>
      <c r="T11" s="80">
        <f>T6+T9-T10</f>
        <v>8496</v>
      </c>
      <c r="U11" s="80">
        <f>U6+U9-U10</f>
        <v>8496</v>
      </c>
      <c r="V11" s="80">
        <f>V6+V9-V10</f>
        <v>8496</v>
      </c>
      <c r="W11" s="80">
        <f>W6+W9-W10</f>
        <v>8496</v>
      </c>
      <c r="X11" s="80">
        <f>X6+X9-X10</f>
        <v>8496</v>
      </c>
      <c r="Y11" s="80">
        <f>Y6+Y9-Y10</f>
        <v>8496</v>
      </c>
      <c r="Z11" s="85">
        <f>SUMIF($B$13:$Y$13,"Yes",B11:Y11)</f>
        <v>100944.0000000001</v>
      </c>
      <c r="AA11" s="80">
        <f>SUM(B11:M11)</f>
        <v>103618.6666666667</v>
      </c>
      <c r="AB11" s="46">
        <f>SUM(B11:Y11)</f>
        <v>185904.0000000001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0.07836074631306049</v>
      </c>
      <c r="E12" s="82">
        <f>IF(E13="Yes",IF(SUM($B$10:E10)/(SUM($B$6:E6)+SUM($B$9:E9))&lt;0,999.99,SUM($B$10:E10)/(SUM($B$6:E6)+SUM($B$9:E9))),"")</f>
        <v>0.1467836955656397</v>
      </c>
      <c r="F12" s="82">
        <f>IF(F13="Yes",IF(SUM($B$10:F10)/(SUM($B$6:F6)+SUM($B$9:F9))&lt;0,999.99,SUM($B$10:F10)/(SUM($B$6:F6)+SUM($B$9:F9))),"")</f>
        <v>0.2070466030320045</v>
      </c>
      <c r="G12" s="82">
        <f>IF(G13="Yes",IF(SUM($B$10:G10)/(SUM($B$6:G6)+SUM($B$9:G9))&lt;0,999.99,SUM($B$10:G10)/(SUM($B$6:G6)+SUM($B$9:G9))),"")</f>
        <v>0.2605270594884838</v>
      </c>
      <c r="H12" s="82">
        <f>IF(H13="Yes",IF(SUM($B$10:H10)/(SUM($B$6:H6)+SUM($B$9:H9))&lt;0,999.99,SUM($B$10:H10)/(SUM($B$6:H6)+SUM($B$9:H9))),"")</f>
        <v>0.3083090866526204</v>
      </c>
      <c r="I12" s="82">
        <f>IF(I13="Yes",IF(SUM($B$10:I10)/(SUM($B$6:I6)+SUM($B$9:I9))&lt;0,999.99,SUM($B$10:I10)/(SUM($B$6:I6)+SUM($B$9:I9))),"")</f>
        <v>0.3512573823585445</v>
      </c>
      <c r="J12" s="82">
        <f>IF(J13="Yes",IF(SUM($B$10:J10)/(SUM($B$6:J6)+SUM($B$9:J9))&lt;0,999.99,SUM($B$10:J10)/(SUM($B$6:J6)+SUM($B$9:J9))),"")</f>
        <v>0.3900701181733007</v>
      </c>
      <c r="K12" s="82">
        <f>IF(K13="Yes",IF(SUM($B$10:K10)/(SUM($B$6:K6)+SUM($B$9:K9))&lt;0,999.99,SUM($B$10:K10)/(SUM($B$6:K6)+SUM($B$9:K9))),"")</f>
        <v>0.4253171856978086</v>
      </c>
      <c r="L12" s="82">
        <f>IF(L13="Yes",IF(SUM($B$10:L10)/(SUM($B$6:L6)+SUM($B$9:L9))&lt;0,999.99,SUM($B$10:L10)/(SUM($B$6:L6)+SUM($B$9:L9))),"")</f>
        <v>0.457468364899512</v>
      </c>
      <c r="M12" s="82">
        <f>IF(M13="Yes",IF(SUM($B$10:M10)/(SUM($B$6:M6)+SUM($B$9:M9))&lt;0,999.99,SUM($B$10:M10)/(SUM($B$6:M6)+SUM($B$9:M9))),"")</f>
        <v>0.4869143822954629</v>
      </c>
      <c r="N12" s="82">
        <f>IF(N13="Yes",IF(SUM($B$10:N10)/(SUM($B$6:N6)+SUM($B$9:N9))&lt;0,999.99,SUM($B$10:N10)/(SUM($B$6:N6)+SUM($B$9:N9))),"")</f>
        <v>0.5139828682936719</v>
      </c>
      <c r="O12" s="82">
        <f>IF(O13="Yes",IF(SUM($B$10:O10)/(SUM($B$6:O6)+SUM($B$9:O9))&lt;0,999.99,SUM($B$10:O10)/(SUM($B$6:O6)+SUM($B$9:O9))),"")</f>
        <v>0.5389505992399882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42856</v>
      </c>
      <c r="C17" s="17">
        <f>C5</f>
        <v>42887</v>
      </c>
      <c r="D17" s="17">
        <f>D5</f>
        <v>42917</v>
      </c>
      <c r="E17" s="17">
        <f>E5</f>
        <v>42948</v>
      </c>
      <c r="F17" s="17">
        <f>F5</f>
        <v>42979</v>
      </c>
      <c r="G17" s="17">
        <f>G5</f>
        <v>43009</v>
      </c>
      <c r="H17" s="17">
        <f>H5</f>
        <v>43040</v>
      </c>
      <c r="I17" s="17">
        <f>I5</f>
        <v>43070</v>
      </c>
      <c r="J17" s="17">
        <f>J5</f>
        <v>43101</v>
      </c>
      <c r="K17" s="17">
        <f>K5</f>
        <v>43132</v>
      </c>
      <c r="L17" s="17">
        <f>L5</f>
        <v>43160</v>
      </c>
      <c r="M17" s="17">
        <f>M5</f>
        <v>43191</v>
      </c>
      <c r="N17" s="17">
        <f>N5</f>
        <v>43221</v>
      </c>
      <c r="O17" s="17">
        <f>O5</f>
        <v>43252</v>
      </c>
      <c r="P17" s="17">
        <f>P5</f>
        <v>43282</v>
      </c>
      <c r="Q17" s="17">
        <f>Q5</f>
        <v>43313</v>
      </c>
      <c r="R17" s="17">
        <f>R5</f>
        <v>43344</v>
      </c>
      <c r="S17" s="17">
        <f>S5</f>
        <v>43374</v>
      </c>
      <c r="T17" s="17">
        <f>T5</f>
        <v>43405</v>
      </c>
      <c r="U17" s="17">
        <f>U5</f>
        <v>43435</v>
      </c>
      <c r="V17" s="17">
        <f>V5</f>
        <v>43466</v>
      </c>
      <c r="W17" s="17">
        <f>W5</f>
        <v>43497</v>
      </c>
      <c r="X17" s="17">
        <f>X5</f>
        <v>43525</v>
      </c>
      <c r="Y17" s="17">
        <f>Y5</f>
        <v>43556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54000</v>
      </c>
      <c r="C29" s="37">
        <f>Inputs!$B$30</f>
        <v>54000</v>
      </c>
      <c r="D29" s="37">
        <f>Inputs!$B$30</f>
        <v>54000</v>
      </c>
      <c r="E29" s="37">
        <f>Inputs!$B$30</f>
        <v>54000</v>
      </c>
      <c r="F29" s="37">
        <f>Inputs!$B$30</f>
        <v>54000</v>
      </c>
      <c r="G29" s="37">
        <f>Inputs!$B$30</f>
        <v>54000</v>
      </c>
      <c r="H29" s="37">
        <f>Inputs!$B$30</f>
        <v>54000</v>
      </c>
      <c r="I29" s="37">
        <f>Inputs!$B$30</f>
        <v>54000</v>
      </c>
      <c r="J29" s="37">
        <f>Inputs!$B$30</f>
        <v>54000</v>
      </c>
      <c r="K29" s="37">
        <f>Inputs!$B$30</f>
        <v>54000</v>
      </c>
      <c r="L29" s="37">
        <f>Inputs!$B$30</f>
        <v>54000</v>
      </c>
      <c r="M29" s="37">
        <f>Inputs!$B$30</f>
        <v>54000</v>
      </c>
      <c r="N29" s="37">
        <f>Inputs!$B$30</f>
        <v>54000</v>
      </c>
      <c r="O29" s="37">
        <f>Inputs!$B$30</f>
        <v>54000</v>
      </c>
      <c r="P29" s="37">
        <f>Inputs!$B$30</f>
        <v>54000</v>
      </c>
      <c r="Q29" s="37">
        <f>Inputs!$B$30</f>
        <v>54000</v>
      </c>
      <c r="R29" s="37">
        <f>Inputs!$B$30</f>
        <v>54000</v>
      </c>
      <c r="S29" s="37">
        <f>Inputs!$B$30</f>
        <v>54000</v>
      </c>
      <c r="T29" s="37">
        <f>Inputs!$B$30</f>
        <v>54000</v>
      </c>
      <c r="U29" s="37">
        <f>Inputs!$B$30</f>
        <v>54000</v>
      </c>
      <c r="V29" s="37">
        <f>Inputs!$B$30</f>
        <v>54000</v>
      </c>
      <c r="W29" s="37">
        <f>Inputs!$B$30</f>
        <v>54000</v>
      </c>
      <c r="X29" s="37">
        <f>Inputs!$B$30</f>
        <v>54000</v>
      </c>
      <c r="Y29" s="37">
        <f>Inputs!$B$30</f>
        <v>54000</v>
      </c>
      <c r="Z29" s="37">
        <f>SUMIF($B$13:$Y$13,"Yes",B29:Y29)</f>
        <v>756000</v>
      </c>
      <c r="AA29" s="37">
        <f>SUM(B29:M29)</f>
        <v>648000</v>
      </c>
      <c r="AB29" s="37">
        <f>SUM(B29:Y29)</f>
        <v>1296000</v>
      </c>
    </row>
    <row r="30" spans="1:30" customHeight="1" ht="15.75">
      <c r="A30" s="1" t="s">
        <v>37</v>
      </c>
      <c r="B30" s="19">
        <f>SUM(B18:B29)</f>
        <v>54000</v>
      </c>
      <c r="C30" s="19">
        <f>SUM(C18:C29)</f>
        <v>54000</v>
      </c>
      <c r="D30" s="19">
        <f>SUM(D18:D29)</f>
        <v>54000</v>
      </c>
      <c r="E30" s="19">
        <f>SUM(E18:E29)</f>
        <v>54000</v>
      </c>
      <c r="F30" s="19">
        <f>SUM(F18:F29)</f>
        <v>54000</v>
      </c>
      <c r="G30" s="19">
        <f>SUM(G18:G29)</f>
        <v>54000</v>
      </c>
      <c r="H30" s="19">
        <f>SUM(H18:H29)</f>
        <v>54000</v>
      </c>
      <c r="I30" s="19">
        <f>SUM(I18:I29)</f>
        <v>54000</v>
      </c>
      <c r="J30" s="19">
        <f>SUM(J18:J29)</f>
        <v>54000</v>
      </c>
      <c r="K30" s="19">
        <f>SUM(K18:K29)</f>
        <v>54000</v>
      </c>
      <c r="L30" s="19">
        <f>SUM(L18:L29)</f>
        <v>54000</v>
      </c>
      <c r="M30" s="19">
        <f>SUM(M18:M29)</f>
        <v>54000</v>
      </c>
      <c r="N30" s="19">
        <f>SUM(N18:N29)</f>
        <v>54000</v>
      </c>
      <c r="O30" s="19">
        <f>SUM(O18:O29)</f>
        <v>54000</v>
      </c>
      <c r="P30" s="19">
        <f>SUM(P18:P29)</f>
        <v>54000</v>
      </c>
      <c r="Q30" s="19">
        <f>SUM(Q18:Q29)</f>
        <v>54000</v>
      </c>
      <c r="R30" s="19">
        <f>SUM(R18:R29)</f>
        <v>54000</v>
      </c>
      <c r="S30" s="19">
        <f>SUM(S18:S29)</f>
        <v>54000</v>
      </c>
      <c r="T30" s="19">
        <f>SUM(T18:T29)</f>
        <v>54000</v>
      </c>
      <c r="U30" s="19">
        <f>SUM(U18:U29)</f>
        <v>54000</v>
      </c>
      <c r="V30" s="19">
        <f>SUM(V18:V29)</f>
        <v>54000</v>
      </c>
      <c r="W30" s="19">
        <f>SUM(W18:W29)</f>
        <v>54000</v>
      </c>
      <c r="X30" s="19">
        <f>SUM(X18:X29)</f>
        <v>54000</v>
      </c>
      <c r="Y30" s="19">
        <f>SUM(Y18:Y29)</f>
        <v>54000</v>
      </c>
      <c r="Z30" s="19">
        <f>SUMIF($B$13:$Y$13,"Yes",B30:Y30)</f>
        <v>756000</v>
      </c>
      <c r="AA30" s="19">
        <f>SUM(B30:M30)</f>
        <v>648000</v>
      </c>
      <c r="AB30" s="19">
        <f>SUM(B30:Y30)</f>
        <v>1296000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42856</v>
      </c>
      <c r="C35" s="17">
        <f>C17</f>
        <v>42887</v>
      </c>
      <c r="D35" s="17">
        <f>D17</f>
        <v>42917</v>
      </c>
      <c r="E35" s="17">
        <f>E17</f>
        <v>42948</v>
      </c>
      <c r="F35" s="17">
        <f>F17</f>
        <v>42979</v>
      </c>
      <c r="G35" s="17">
        <f>G17</f>
        <v>43009</v>
      </c>
      <c r="H35" s="17">
        <f>H17</f>
        <v>43040</v>
      </c>
      <c r="I35" s="17">
        <f>I17</f>
        <v>43070</v>
      </c>
      <c r="J35" s="17">
        <f>J17</f>
        <v>43101</v>
      </c>
      <c r="K35" s="17">
        <f>K17</f>
        <v>43132</v>
      </c>
      <c r="L35" s="17">
        <f>L17</f>
        <v>43160</v>
      </c>
      <c r="M35" s="17">
        <f>M17</f>
        <v>43191</v>
      </c>
      <c r="N35" s="17">
        <f>N17</f>
        <v>43221</v>
      </c>
      <c r="O35" s="17">
        <f>O17</f>
        <v>43252</v>
      </c>
      <c r="P35" s="17">
        <f>P17</f>
        <v>43282</v>
      </c>
      <c r="Q35" s="17">
        <f>Q17</f>
        <v>43313</v>
      </c>
      <c r="R35" s="17">
        <f>R17</f>
        <v>43344</v>
      </c>
      <c r="S35" s="17">
        <f>S17</f>
        <v>43374</v>
      </c>
      <c r="T35" s="17">
        <f>T17</f>
        <v>43405</v>
      </c>
      <c r="U35" s="17">
        <f>U17</f>
        <v>43435</v>
      </c>
      <c r="V35" s="17">
        <f>V17</f>
        <v>43466</v>
      </c>
      <c r="W35" s="17">
        <f>W17</f>
        <v>43497</v>
      </c>
      <c r="X35" s="17">
        <f>X17</f>
        <v>43525</v>
      </c>
      <c r="Y35" s="17">
        <f>Y17</f>
        <v>43556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Maize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Maize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Maize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3839.999999999999</v>
      </c>
      <c r="C66" s="36">
        <f>O66</f>
        <v>3839.999999999999</v>
      </c>
      <c r="D66" s="36">
        <f>P66</f>
        <v>3839.999999999999</v>
      </c>
      <c r="E66" s="36">
        <f>Q66</f>
        <v>3839.999999999999</v>
      </c>
      <c r="F66" s="36">
        <f>R66</f>
        <v>3839.999999999999</v>
      </c>
      <c r="G66" s="36">
        <f>S66</f>
        <v>3839.999999999999</v>
      </c>
      <c r="H66" s="36">
        <f>T66</f>
        <v>3839.999999999999</v>
      </c>
      <c r="I66" s="36">
        <f>U66</f>
        <v>3839.999999999999</v>
      </c>
      <c r="J66" s="36">
        <f>V66</f>
        <v>3839.999999999999</v>
      </c>
      <c r="K66" s="36">
        <f>W66</f>
        <v>3839.999999999999</v>
      </c>
      <c r="L66" s="36">
        <f>X66</f>
        <v>3839.999999999999</v>
      </c>
      <c r="M66" s="36">
        <f>Y66</f>
        <v>3839.999999999999</v>
      </c>
      <c r="N66" s="46">
        <f>SUM(N67:N71)</f>
        <v>3839.999999999999</v>
      </c>
      <c r="O66" s="46">
        <f>SUM(O67:O71)</f>
        <v>3839.999999999999</v>
      </c>
      <c r="P66" s="46">
        <f>SUM(P67:P71)</f>
        <v>3839.999999999999</v>
      </c>
      <c r="Q66" s="46">
        <f>SUM(Q67:Q71)</f>
        <v>3839.999999999999</v>
      </c>
      <c r="R66" s="46">
        <f>SUM(R67:R71)</f>
        <v>3839.999999999999</v>
      </c>
      <c r="S66" s="46">
        <f>SUM(S67:S71)</f>
        <v>3839.999999999999</v>
      </c>
      <c r="T66" s="46">
        <f>SUM(T67:T71)</f>
        <v>3839.999999999999</v>
      </c>
      <c r="U66" s="46">
        <f>SUM(U67:U71)</f>
        <v>3839.999999999999</v>
      </c>
      <c r="V66" s="46">
        <f>SUM(V67:V71)</f>
        <v>3839.999999999999</v>
      </c>
      <c r="W66" s="46">
        <f>SUM(W67:W71)</f>
        <v>3839.999999999999</v>
      </c>
      <c r="X66" s="46">
        <f>SUM(X67:X71)</f>
        <v>3839.999999999999</v>
      </c>
      <c r="Y66" s="46">
        <f>SUM(Y67:Y71)</f>
        <v>3839.999999999999</v>
      </c>
      <c r="Z66" s="46">
        <f>SUMIF($B$13:$Y$13,"Yes",B66:Y66)</f>
        <v>53759.99999999999</v>
      </c>
      <c r="AA66" s="46">
        <f>SUM(B66:M66)</f>
        <v>46079.99999999999</v>
      </c>
      <c r="AB66" s="46">
        <f>SUM(B66:Y66)</f>
        <v>92159.99999999999</v>
      </c>
    </row>
    <row r="67" spans="1:30" hidden="true" outlineLevel="1">
      <c r="A67" s="181" t="str">
        <f>Calculations!$A$4</f>
        <v>Maize</v>
      </c>
      <c r="B67" s="36">
        <f>N67</f>
        <v>3839.999999999999</v>
      </c>
      <c r="C67" s="36">
        <f>O67</f>
        <v>3839.999999999999</v>
      </c>
      <c r="D67" s="36">
        <f>P67</f>
        <v>3839.999999999999</v>
      </c>
      <c r="E67" s="36">
        <f>Q67</f>
        <v>3839.999999999999</v>
      </c>
      <c r="F67" s="36">
        <f>R67</f>
        <v>3839.999999999999</v>
      </c>
      <c r="G67" s="36">
        <f>S67</f>
        <v>3839.999999999999</v>
      </c>
      <c r="H67" s="36">
        <f>T67</f>
        <v>3839.999999999999</v>
      </c>
      <c r="I67" s="36">
        <f>U67</f>
        <v>3839.999999999999</v>
      </c>
      <c r="J67" s="36">
        <f>V67</f>
        <v>3839.999999999999</v>
      </c>
      <c r="K67" s="36">
        <f>W67</f>
        <v>3839.999999999999</v>
      </c>
      <c r="L67" s="36">
        <f>X67</f>
        <v>3839.999999999999</v>
      </c>
      <c r="M67" s="36">
        <f>Y67</f>
        <v>3839.999999999999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3839.999999999999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3839.999999999999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3839.999999999999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3839.999999999999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3839.999999999999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3839.999999999999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3839.999999999999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3839.999999999999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3839.999999999999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3839.999999999999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3839.999999999999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3839.999999999999</v>
      </c>
      <c r="Z67" s="46">
        <f>SUMIF($B$13:$Y$13,"Yes",B67:Y67)</f>
        <v>53759.99999999999</v>
      </c>
      <c r="AA67" s="46">
        <f>SUM(B67:M67)</f>
        <v>46079.99999999999</v>
      </c>
      <c r="AB67" s="46">
        <f>SUM(B67:Y67)</f>
        <v>92159.99999999999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36000</v>
      </c>
      <c r="C79" s="46">
        <f>Inputs!$B$31</f>
        <v>36000</v>
      </c>
      <c r="D79" s="46">
        <f>Inputs!$B$31</f>
        <v>36000</v>
      </c>
      <c r="E79" s="46">
        <f>Inputs!$B$31</f>
        <v>36000</v>
      </c>
      <c r="F79" s="46">
        <f>Inputs!$B$31</f>
        <v>36000</v>
      </c>
      <c r="G79" s="46">
        <f>Inputs!$B$31</f>
        <v>36000</v>
      </c>
      <c r="H79" s="46">
        <f>Inputs!$B$31</f>
        <v>36000</v>
      </c>
      <c r="I79" s="46">
        <f>Inputs!$B$31</f>
        <v>36000</v>
      </c>
      <c r="J79" s="46">
        <f>Inputs!$B$31</f>
        <v>36000</v>
      </c>
      <c r="K79" s="46">
        <f>Inputs!$B$31</f>
        <v>36000</v>
      </c>
      <c r="L79" s="46">
        <f>Inputs!$B$31</f>
        <v>36000</v>
      </c>
      <c r="M79" s="46">
        <f>Inputs!$B$31</f>
        <v>36000</v>
      </c>
      <c r="N79" s="46">
        <f>Inputs!$B$31</f>
        <v>36000</v>
      </c>
      <c r="O79" s="46">
        <f>Inputs!$B$31</f>
        <v>36000</v>
      </c>
      <c r="P79" s="46">
        <f>Inputs!$B$31</f>
        <v>36000</v>
      </c>
      <c r="Q79" s="46">
        <f>Inputs!$B$31</f>
        <v>36000</v>
      </c>
      <c r="R79" s="46">
        <f>Inputs!$B$31</f>
        <v>36000</v>
      </c>
      <c r="S79" s="46">
        <f>Inputs!$B$31</f>
        <v>36000</v>
      </c>
      <c r="T79" s="46">
        <f>Inputs!$B$31</f>
        <v>36000</v>
      </c>
      <c r="U79" s="46">
        <f>Inputs!$B$31</f>
        <v>36000</v>
      </c>
      <c r="V79" s="46">
        <f>Inputs!$B$31</f>
        <v>36000</v>
      </c>
      <c r="W79" s="46">
        <f>Inputs!$B$31</f>
        <v>36000</v>
      </c>
      <c r="X79" s="46">
        <f>Inputs!$B$31</f>
        <v>36000</v>
      </c>
      <c r="Y79" s="46">
        <f>Inputs!$B$31</f>
        <v>36000</v>
      </c>
      <c r="Z79" s="46">
        <f>SUMIF($B$13:$Y$13,"Yes",B79:Y79)</f>
        <v>504000</v>
      </c>
      <c r="AA79" s="46">
        <f>SUM(B79:M79)</f>
        <v>432000</v>
      </c>
      <c r="AB79" s="46">
        <f>SUM(B79:Y79)</f>
        <v>864000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5664</v>
      </c>
      <c r="C81" s="46">
        <f>(SUM($AA$18:$AA$29)-SUM($AA$36,$AA$42,$AA$48,$AA$54,$AA$60,$AA$66,$AA$72:$AA$79))*Parameters!$B$37/12</f>
        <v>5664</v>
      </c>
      <c r="D81" s="46">
        <f>(SUM($AA$18:$AA$29)-SUM($AA$36,$AA$42,$AA$48,$AA$54,$AA$60,$AA$66,$AA$72:$AA$79))*Parameters!$B$37/12</f>
        <v>5664</v>
      </c>
      <c r="E81" s="46">
        <f>(SUM($AA$18:$AA$29)-SUM($AA$36,$AA$42,$AA$48,$AA$54,$AA$60,$AA$66,$AA$72:$AA$79))*Parameters!$B$37/12</f>
        <v>5664</v>
      </c>
      <c r="F81" s="46">
        <f>(SUM($AA$18:$AA$29)-SUM($AA$36,$AA$42,$AA$48,$AA$54,$AA$60,$AA$66,$AA$72:$AA$79))*Parameters!$B$37/12</f>
        <v>5664</v>
      </c>
      <c r="G81" s="46">
        <f>(SUM($AA$18:$AA$29)-SUM($AA$36,$AA$42,$AA$48,$AA$54,$AA$60,$AA$66,$AA$72:$AA$79))*Parameters!$B$37/12</f>
        <v>5664</v>
      </c>
      <c r="H81" s="46">
        <f>(SUM($AA$18:$AA$29)-SUM($AA$36,$AA$42,$AA$48,$AA$54,$AA$60,$AA$66,$AA$72:$AA$79))*Parameters!$B$37/12</f>
        <v>5664</v>
      </c>
      <c r="I81" s="46">
        <f>(SUM($AA$18:$AA$29)-SUM($AA$36,$AA$42,$AA$48,$AA$54,$AA$60,$AA$66,$AA$72:$AA$79))*Parameters!$B$37/12</f>
        <v>5664</v>
      </c>
      <c r="J81" s="46">
        <f>(SUM($AA$18:$AA$29)-SUM($AA$36,$AA$42,$AA$48,$AA$54,$AA$60,$AA$66,$AA$72:$AA$79))*Parameters!$B$37/12</f>
        <v>5664</v>
      </c>
      <c r="K81" s="46">
        <f>(SUM($AA$18:$AA$29)-SUM($AA$36,$AA$42,$AA$48,$AA$54,$AA$60,$AA$66,$AA$72:$AA$79))*Parameters!$B$37/12</f>
        <v>5664</v>
      </c>
      <c r="L81" s="46">
        <f>(SUM($AA$18:$AA$29)-SUM($AA$36,$AA$42,$AA$48,$AA$54,$AA$60,$AA$66,$AA$72:$AA$79))*Parameters!$B$37/12</f>
        <v>5664</v>
      </c>
      <c r="M81" s="46">
        <f>(SUM($AA$18:$AA$29)-SUM($AA$36,$AA$42,$AA$48,$AA$54,$AA$60,$AA$66,$AA$72:$AA$79))*Parameters!$B$37/12</f>
        <v>5664</v>
      </c>
      <c r="N81" s="46">
        <f>(SUM($AA$18:$AA$29)-SUM($AA$36,$AA$42,$AA$48,$AA$54,$AA$60,$AA$66,$AA$72:$AA$79))*Parameters!$B$37/12</f>
        <v>5664</v>
      </c>
      <c r="O81" s="46">
        <f>(SUM($AA$18:$AA$29)-SUM($AA$36,$AA$42,$AA$48,$AA$54,$AA$60,$AA$66,$AA$72:$AA$79))*Parameters!$B$37/12</f>
        <v>5664</v>
      </c>
      <c r="P81" s="46">
        <f>(SUM($AA$18:$AA$29)-SUM($AA$36,$AA$42,$AA$48,$AA$54,$AA$60,$AA$66,$AA$72:$AA$79))*Parameters!$B$37/12</f>
        <v>5664</v>
      </c>
      <c r="Q81" s="46">
        <f>(SUM($AA$18:$AA$29)-SUM($AA$36,$AA$42,$AA$48,$AA$54,$AA$60,$AA$66,$AA$72:$AA$79))*Parameters!$B$37/12</f>
        <v>5664</v>
      </c>
      <c r="R81" s="46">
        <f>(SUM($AA$18:$AA$29)-SUM($AA$36,$AA$42,$AA$48,$AA$54,$AA$60,$AA$66,$AA$72:$AA$79))*Parameters!$B$37/12</f>
        <v>5664</v>
      </c>
      <c r="S81" s="46">
        <f>(SUM($AA$18:$AA$29)-SUM($AA$36,$AA$42,$AA$48,$AA$54,$AA$60,$AA$66,$AA$72:$AA$79))*Parameters!$B$37/12</f>
        <v>5664</v>
      </c>
      <c r="T81" s="46">
        <f>(SUM($AA$18:$AA$29)-SUM($AA$36,$AA$42,$AA$48,$AA$54,$AA$60,$AA$66,$AA$72:$AA$79))*Parameters!$B$37/12</f>
        <v>5664</v>
      </c>
      <c r="U81" s="46">
        <f>(SUM($AA$18:$AA$29)-SUM($AA$36,$AA$42,$AA$48,$AA$54,$AA$60,$AA$66,$AA$72:$AA$79))*Parameters!$B$37/12</f>
        <v>5664</v>
      </c>
      <c r="V81" s="46">
        <f>(SUM($AA$18:$AA$29)-SUM($AA$36,$AA$42,$AA$48,$AA$54,$AA$60,$AA$66,$AA$72:$AA$79))*Parameters!$B$37/12</f>
        <v>5664</v>
      </c>
      <c r="W81" s="46">
        <f>(SUM($AA$18:$AA$29)-SUM($AA$36,$AA$42,$AA$48,$AA$54,$AA$60,$AA$66,$AA$72:$AA$79))*Parameters!$B$37/12</f>
        <v>5664</v>
      </c>
      <c r="X81" s="46">
        <f>(SUM($AA$18:$AA$29)-SUM($AA$36,$AA$42,$AA$48,$AA$54,$AA$60,$AA$66,$AA$72:$AA$79))*Parameters!$B$37/12</f>
        <v>5664</v>
      </c>
      <c r="Y81" s="46">
        <f>(SUM($AA$18:$AA$29)-SUM($AA$36,$AA$42,$AA$48,$AA$54,$AA$60,$AA$66,$AA$72:$AA$79))*Parameters!$B$37/12</f>
        <v>5664</v>
      </c>
      <c r="Z81" s="46">
        <f>SUMIF($B$13:$Y$13,"Yes",B81:Y81)</f>
        <v>79296</v>
      </c>
      <c r="AA81" s="46">
        <f>SUM(B81:M81)</f>
        <v>67968</v>
      </c>
      <c r="AB81" s="46">
        <f>SUM(B81:Y81)</f>
        <v>135936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45504</v>
      </c>
      <c r="C88" s="19">
        <f>SUM(C72:C82,C66,C60,C54,C48,C42,C36)</f>
        <v>45504</v>
      </c>
      <c r="D88" s="19">
        <f>SUM(D72:D82,D66,D60,D54,D48,D42,D36)</f>
        <v>45504</v>
      </c>
      <c r="E88" s="19">
        <f>SUM(E72:E82,E66,E60,E54,E48,E42,E36)</f>
        <v>45504</v>
      </c>
      <c r="F88" s="19">
        <f>SUM(F72:F82,F66,F60,F54,F48,F42,F36)</f>
        <v>45504</v>
      </c>
      <c r="G88" s="19">
        <f>SUM(G72:G82,G66,G60,G54,G48,G42,G36)</f>
        <v>45504</v>
      </c>
      <c r="H88" s="19">
        <f>SUM(H72:H82,H66,H60,H54,H48,H42,H36)</f>
        <v>45504</v>
      </c>
      <c r="I88" s="19">
        <f>SUM(I72:I82,I66,I60,I54,I48,I42,I36)</f>
        <v>45504</v>
      </c>
      <c r="J88" s="19">
        <f>SUM(J72:J82,J66,J60,J54,J48,J42,J36)</f>
        <v>45504</v>
      </c>
      <c r="K88" s="19">
        <f>SUM(K72:K82,K66,K60,K54,K48,K42,K36)</f>
        <v>45504</v>
      </c>
      <c r="L88" s="19">
        <f>SUM(L72:L82,L66,L60,L54,L48,L42,L36)</f>
        <v>45504</v>
      </c>
      <c r="M88" s="19">
        <f>SUM(M72:M82,M66,M60,M54,M48,M42,M36)</f>
        <v>45504</v>
      </c>
      <c r="N88" s="19">
        <f>SUM(N72:N82,N66,N60,N54,N48,N42,N36)</f>
        <v>45504</v>
      </c>
      <c r="O88" s="19">
        <f>SUM(O72:O82,O66,O60,O54,O48,O42,O36)</f>
        <v>45504</v>
      </c>
      <c r="P88" s="19">
        <f>SUM(P72:P82,P66,P60,P54,P48,P42,P36)</f>
        <v>45504</v>
      </c>
      <c r="Q88" s="19">
        <f>SUM(Q72:Q82,Q66,Q60,Q54,Q48,Q42,Q36)</f>
        <v>45504</v>
      </c>
      <c r="R88" s="19">
        <f>SUM(R72:R82,R66,R60,R54,R48,R42,R36)</f>
        <v>45504</v>
      </c>
      <c r="S88" s="19">
        <f>SUM(S72:S82,S66,S60,S54,S48,S42,S36)</f>
        <v>45504</v>
      </c>
      <c r="T88" s="19">
        <f>SUM(T72:T82,T66,T60,T54,T48,T42,T36)</f>
        <v>45504</v>
      </c>
      <c r="U88" s="19">
        <f>SUM(U72:U82,U66,U60,U54,U48,U42,U36)</f>
        <v>45504</v>
      </c>
      <c r="V88" s="19">
        <f>SUM(V72:V82,V66,V60,V54,V48,V42,V36)</f>
        <v>45504</v>
      </c>
      <c r="W88" s="19">
        <f>SUM(W72:W82,W66,W60,W54,W48,W42,W36)</f>
        <v>45504</v>
      </c>
      <c r="X88" s="19">
        <f>SUM(X72:X82,X66,X60,X54,X48,X42,X36)</f>
        <v>45504</v>
      </c>
      <c r="Y88" s="19">
        <f>SUM(Y72:Y82,Y66,Y60,Y54,Y48,Y42,Y36)</f>
        <v>45504</v>
      </c>
      <c r="Z88" s="19">
        <f>SUMIF($B$13:$Y$13,"Yes",B88:Y88)</f>
        <v>637056</v>
      </c>
      <c r="AA88" s="19">
        <f>SUM(B88:M88)</f>
        <v>546048</v>
      </c>
      <c r="AB88" s="19">
        <f>SUM(B88:Y88)</f>
        <v>1092096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</v>
      </c>
    </row>
    <row r="95" spans="1:30">
      <c r="A95" t="s">
        <v>61</v>
      </c>
      <c r="B95" s="36">
        <f>Inputs!B47</f>
        <v>25000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56000</v>
      </c>
    </row>
    <row r="100" spans="1:30" customHeight="1" ht="15.75">
      <c r="A100" s="18" t="s">
        <v>66</v>
      </c>
      <c r="B100" s="37">
        <f>Inputs!B48</f>
        <v>450000</v>
      </c>
    </row>
    <row r="101" spans="1:30" customHeight="1" ht="15.75">
      <c r="A101" s="1" t="s">
        <v>67</v>
      </c>
      <c r="B101" s="19">
        <f>SUM(B94:B100)</f>
        <v>787000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17000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117000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5</v>
      </c>
      <c r="N7" s="153">
        <v>1</v>
      </c>
      <c r="P7" s="41"/>
    </row>
    <row r="8" spans="1:48">
      <c r="A8" s="143" t="s">
        <v>94</v>
      </c>
      <c r="B8" s="16"/>
      <c r="C8" s="143">
        <v>2</v>
      </c>
      <c r="D8" s="16"/>
      <c r="E8" s="147" t="s">
        <v>95</v>
      </c>
      <c r="F8" s="149" t="s">
        <v>91</v>
      </c>
      <c r="G8" s="147"/>
      <c r="H8" s="147" t="s">
        <v>92</v>
      </c>
      <c r="I8" s="147" t="s">
        <v>91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 t="s">
        <v>94</v>
      </c>
      <c r="B9" s="16"/>
      <c r="C9" s="143">
        <v>0</v>
      </c>
      <c r="D9" s="16"/>
      <c r="E9" s="147" t="s">
        <v>97</v>
      </c>
      <c r="F9" s="149" t="s">
        <v>98</v>
      </c>
      <c r="G9" s="147"/>
      <c r="H9" s="147" t="s">
        <v>92</v>
      </c>
      <c r="I9" s="147" t="s">
        <v>99</v>
      </c>
      <c r="J9" s="148" t="s">
        <v>93</v>
      </c>
      <c r="K9" s="138"/>
      <c r="L9" s="16"/>
      <c r="M9" s="165">
        <v>100</v>
      </c>
      <c r="N9" s="154">
        <v>0</v>
      </c>
    </row>
    <row r="10" spans="1:48">
      <c r="A10" s="143" t="s">
        <v>94</v>
      </c>
      <c r="B10" s="16"/>
      <c r="C10" s="143">
        <v>0</v>
      </c>
      <c r="D10" s="16">
        <v>0</v>
      </c>
      <c r="E10" s="147" t="s">
        <v>97</v>
      </c>
      <c r="F10" s="149" t="s">
        <v>98</v>
      </c>
      <c r="G10" s="147"/>
      <c r="H10" s="147" t="s">
        <v>92</v>
      </c>
      <c r="I10" s="147" t="s">
        <v>99</v>
      </c>
      <c r="J10" s="148" t="s">
        <v>93</v>
      </c>
      <c r="K10" s="138" t="s">
        <v>100</v>
      </c>
      <c r="L10" s="16">
        <v>0</v>
      </c>
      <c r="M10" s="165">
        <v>100</v>
      </c>
      <c r="N10" s="154">
        <v>0</v>
      </c>
    </row>
    <row r="11" spans="1:48">
      <c r="A11" s="144" t="s">
        <v>94</v>
      </c>
      <c r="B11" s="23"/>
      <c r="C11" s="144">
        <v>0</v>
      </c>
      <c r="D11" s="23"/>
      <c r="E11" s="150" t="s">
        <v>97</v>
      </c>
      <c r="F11" s="151" t="s">
        <v>98</v>
      </c>
      <c r="G11" s="150"/>
      <c r="H11" s="150" t="s">
        <v>92</v>
      </c>
      <c r="I11" s="150" t="s">
        <v>99</v>
      </c>
      <c r="J11" s="152" t="s">
        <v>93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101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102</v>
      </c>
      <c r="B18" s="10" t="s">
        <v>103</v>
      </c>
      <c r="C18" s="10" t="s">
        <v>104</v>
      </c>
      <c r="D18" s="10" t="s">
        <v>105</v>
      </c>
      <c r="E18" s="10" t="s">
        <v>106</v>
      </c>
      <c r="F18" s="10" t="s">
        <v>107</v>
      </c>
      <c r="G18" s="10" t="s">
        <v>108</v>
      </c>
      <c r="H18" s="10" t="s">
        <v>109</v>
      </c>
      <c r="I18" s="10" t="s">
        <v>110</v>
      </c>
      <c r="J18" s="10" t="s">
        <v>111</v>
      </c>
      <c r="K18" s="10" t="s">
        <v>112</v>
      </c>
      <c r="L18" s="10" t="s">
        <v>113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80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54000</v>
      </c>
    </row>
    <row r="31" spans="1:48">
      <c r="A31" s="5" t="s">
        <v>120</v>
      </c>
      <c r="B31" s="158">
        <v>36000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250000</v>
      </c>
    </row>
    <row r="46" spans="1:48" customHeight="1" ht="30">
      <c r="A46" s="57" t="s">
        <v>134</v>
      </c>
      <c r="B46" s="161">
        <v>56000</v>
      </c>
    </row>
    <row r="47" spans="1:48" customHeight="1" ht="30">
      <c r="A47" s="57" t="s">
        <v>135</v>
      </c>
      <c r="B47" s="161">
        <v>25000</v>
      </c>
    </row>
    <row r="48" spans="1:48" customHeight="1" ht="30">
      <c r="A48" s="57" t="s">
        <v>136</v>
      </c>
      <c r="B48" s="161">
        <v>450000</v>
      </c>
    </row>
    <row r="49" spans="1:48" customHeight="1" ht="30">
      <c r="A49" s="57" t="s">
        <v>137</v>
      </c>
      <c r="B49" s="161">
        <v>6000</v>
      </c>
    </row>
    <row r="50" spans="1:48">
      <c r="A50" s="43"/>
      <c r="B50" s="36"/>
    </row>
    <row r="51" spans="1:48">
      <c r="A51" s="58" t="s">
        <v>138</v>
      </c>
      <c r="B51" s="161">
        <v>17000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147</v>
      </c>
      <c r="C65" s="10" t="s">
        <v>148</v>
      </c>
    </row>
    <row r="66" spans="1:48">
      <c r="A66" s="142" t="s">
        <v>149</v>
      </c>
      <c r="B66" s="159">
        <v>56000</v>
      </c>
      <c r="C66" s="163">
        <v>48000</v>
      </c>
      <c r="D66" s="49">
        <f>INDEX(Parameters!$D$79:$D$90,MATCH(Inputs!A66,Parameters!$C$79:$C$90,0))</f>
        <v>6</v>
      </c>
    </row>
    <row r="67" spans="1:48">
      <c r="A67" s="143" t="s">
        <v>150</v>
      </c>
      <c r="B67" s="157">
        <v>78000</v>
      </c>
      <c r="C67" s="165">
        <v>48000</v>
      </c>
      <c r="D67" s="49">
        <f>INDEX(Parameters!$D$79:$D$90,MATCH(Inputs!A67,Parameters!$C$79:$C$90,0))</f>
        <v>7</v>
      </c>
    </row>
    <row r="68" spans="1:48">
      <c r="A68" s="143" t="s">
        <v>96</v>
      </c>
      <c r="B68" s="157">
        <v>72000</v>
      </c>
      <c r="C68" s="165">
        <v>54000</v>
      </c>
      <c r="D68" s="49">
        <f>INDEX(Parameters!$D$79:$D$90,MATCH(Inputs!A68,Parameters!$C$79:$C$90,0))</f>
        <v>8</v>
      </c>
    </row>
    <row r="69" spans="1:48">
      <c r="A69" s="143" t="s">
        <v>151</v>
      </c>
      <c r="B69" s="157">
        <v>60000</v>
      </c>
      <c r="C69" s="165">
        <v>48000</v>
      </c>
      <c r="D69" s="49">
        <f>INDEX(Parameters!$D$79:$D$90,MATCH(Inputs!A69,Parameters!$C$79:$C$90,0))</f>
        <v>9</v>
      </c>
    </row>
    <row r="70" spans="1:48">
      <c r="A70" s="143" t="s">
        <v>152</v>
      </c>
      <c r="B70" s="157">
        <v>62000</v>
      </c>
      <c r="C70" s="165">
        <v>50000</v>
      </c>
      <c r="D70" s="49">
        <f>INDEX(Parameters!$D$79:$D$90,MATCH(Inputs!A70,Parameters!$C$79:$C$90,0))</f>
        <v>10</v>
      </c>
    </row>
    <row r="71" spans="1:48">
      <c r="A71" s="144" t="s">
        <v>153</v>
      </c>
      <c r="B71" s="158">
        <v>80000</v>
      </c>
      <c r="C71" s="167">
        <v>48000</v>
      </c>
      <c r="D71" s="49">
        <f>INDEX(Parameters!$D$79:$D$90,MATCH(Inputs!A71,Parameters!$C$79:$C$90,0))</f>
        <v>11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22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100000</v>
      </c>
    </row>
    <row r="82" spans="1:48">
      <c r="A82" t="s">
        <v>164</v>
      </c>
      <c r="B82" s="161">
        <v>18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42856</v>
      </c>
      <c r="AD3" s="59">
        <f>Output!C5</f>
        <v>42887</v>
      </c>
      <c r="AE3" s="59">
        <f>Output!D5</f>
        <v>42917</v>
      </c>
      <c r="AF3" s="59">
        <f>Output!E5</f>
        <v>42948</v>
      </c>
      <c r="AG3" s="59">
        <f>Output!F5</f>
        <v>42979</v>
      </c>
      <c r="AH3" s="59">
        <f>Output!G5</f>
        <v>43009</v>
      </c>
      <c r="AI3" s="59">
        <f>Output!H5</f>
        <v>43040</v>
      </c>
      <c r="AJ3" s="59">
        <f>Output!I5</f>
        <v>43070</v>
      </c>
      <c r="AK3" s="59">
        <f>Output!J5</f>
        <v>43101</v>
      </c>
      <c r="AL3" s="59">
        <f>Output!K5</f>
        <v>43132</v>
      </c>
      <c r="AM3" s="59">
        <f>Output!L5</f>
        <v>43160</v>
      </c>
      <c r="AN3" s="59">
        <f>Output!M5</f>
        <v>43191</v>
      </c>
      <c r="AO3" s="59">
        <f>Output!N5</f>
        <v>43221</v>
      </c>
      <c r="AP3" s="59">
        <f>Output!O5</f>
        <v>43252</v>
      </c>
      <c r="AQ3" s="59">
        <f>Output!P5</f>
        <v>43282</v>
      </c>
      <c r="AR3" s="59">
        <f>Output!Q5</f>
        <v>43313</v>
      </c>
      <c r="AS3" s="59">
        <f>Output!R5</f>
        <v>43344</v>
      </c>
      <c r="AT3" s="59">
        <f>Output!S5</f>
        <v>43374</v>
      </c>
      <c r="AU3" s="59">
        <f>Output!T5</f>
        <v>43405</v>
      </c>
      <c r="AV3" s="59">
        <f>Output!U5</f>
        <v>43435</v>
      </c>
      <c r="AW3" s="59">
        <f>Output!V5</f>
        <v>43466</v>
      </c>
      <c r="AX3" s="59">
        <f>Output!W5</f>
        <v>43497</v>
      </c>
      <c r="AY3" s="59">
        <f>Output!X5</f>
        <v>43525</v>
      </c>
      <c r="AZ3" s="59">
        <f>Output!Y5</f>
        <v>43556</v>
      </c>
    </row>
    <row r="4" spans="1:52" s="21" customFormat="1">
      <c r="A4" s="20" t="str">
        <f>Inputs!A7</f>
        <v>Maize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1212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9599.999999999998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2</v>
      </c>
      <c r="I5" s="138" t="str">
        <f>IFERROR(VLOOKUP(Inputs!E8,Parameters!$J$77:$K$81,2,0),"")</f>
        <v>No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42948</v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>42948</v>
      </c>
      <c r="C7" s="39">
        <f>IFERROR(DATE(YEAR(B7),MONTH(B7)+ROUND(T7/2,0),DAY(B7)),B7)</f>
        <v>42948</v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>42948</v>
      </c>
      <c r="C8" s="40">
        <f>IFERROR(DATE(YEAR(B8),MONTH(B8)+ROUND(T8/2,0),DAY(B8)),B8)</f>
        <v>42948</v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102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42922</v>
      </c>
      <c r="C33" s="27">
        <f>IF(B33&lt;&gt;"",IF(COUNT($A$33:A33)&lt;=$G$39,0,$G$41)+IF(COUNT($A$33:A33)&lt;=$G$40,0,$G$42),0)</f>
        <v>9833.333333333334</v>
      </c>
      <c r="D33" s="170">
        <f>IFERROR(DATE(YEAR(B33),MONTH(B33),1)," ")</f>
        <v>42917</v>
      </c>
      <c r="F33" t="s">
        <v>159</v>
      </c>
      <c r="G33" s="128">
        <f>IF(Inputs!B79="","",DATE(YEAR(Inputs!B79),MONTH(Inputs!B79),DAY(Inputs!B79)))</f>
        <v>42894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42953</v>
      </c>
      <c r="C34" s="27">
        <f>IF(B34&lt;&gt;"",IF(COUNT($A$33:A34)&lt;=$G$39,0,$G$41)+IF(COUNT($A$33:A34)&lt;=$G$40,0,$G$42),0)</f>
        <v>9833.333333333334</v>
      </c>
      <c r="D34" s="170">
        <f>IFERROR(DATE(YEAR(B34),MONTH(B34),1)," ")</f>
        <v>42948</v>
      </c>
      <c r="F34" t="s">
        <v>161</v>
      </c>
      <c r="G34" s="128">
        <f>IF(Inputs!B80="","",DATE(YEAR(Inputs!B80),MONTH(Inputs!B80),DAY(Inputs!B80)))</f>
        <v>42922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42984</v>
      </c>
      <c r="C35" s="27">
        <f>IF(B35&lt;&gt;"",IF(COUNT($A$33:A35)&lt;=$G$39,0,$G$41)+IF(COUNT($A$33:A35)&lt;=$G$40,0,$G$42),0)</f>
        <v>9833.333333333334</v>
      </c>
      <c r="D35" s="170">
        <f>IFERROR(DATE(YEAR(B35),MONTH(B35),1)," ")</f>
        <v>42979</v>
      </c>
      <c r="F35" t="s">
        <v>163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43014</v>
      </c>
      <c r="C36" s="27">
        <f>IF(B36&lt;&gt;"",IF(COUNT($A$33:A36)&lt;=$G$39,0,$G$41)+IF(COUNT($A$33:A36)&lt;=$G$40,0,$G$42),0)</f>
        <v>9833.333333333334</v>
      </c>
      <c r="D36" s="170">
        <f>IFERROR(DATE(YEAR(B36),MONTH(B36),1)," ")</f>
        <v>43009</v>
      </c>
      <c r="F36" t="s">
        <v>164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43045</v>
      </c>
      <c r="C37" s="27">
        <f>IF(B37&lt;&gt;"",IF(COUNT($A$33:A37)&lt;=$G$39,0,$G$41)+IF(COUNT($A$33:A37)&lt;=$G$40,0,$G$42),0)</f>
        <v>9833.333333333334</v>
      </c>
      <c r="D37" s="170">
        <f>IFERROR(DATE(YEAR(B37),MONTH(B37),1)," ")</f>
        <v>43040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43075</v>
      </c>
      <c r="C38" s="27">
        <f>IF(B38&lt;&gt;"",IF(COUNT($A$33:A38)&lt;=$G$39,0,$G$41)+IF(COUNT($A$33:A38)&lt;=$G$40,0,$G$42),0)</f>
        <v>9833.333333333334</v>
      </c>
      <c r="D38" s="170">
        <f>IFERROR(DATE(YEAR(B38),MONTH(B38),1)," ")</f>
        <v>43070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43106</v>
      </c>
      <c r="C39" s="27">
        <f>IF(B39&lt;&gt;"",IF(COUNT($A$33:A39)&lt;=$G$39,0,$G$41)+IF(COUNT($A$33:A39)&lt;=$G$40,0,$G$42),0)</f>
        <v>9833.333333333334</v>
      </c>
      <c r="D39" s="170">
        <f>IFERROR(DATE(YEAR(B39),MONTH(B39),1)," ")</f>
        <v>43101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43137</v>
      </c>
      <c r="C40" s="27">
        <f>IF(B40&lt;&gt;"",IF(COUNT($A$33:A40)&lt;=$G$39,0,$G$41)+IF(COUNT($A$33:A40)&lt;=$G$40,0,$G$42),0)</f>
        <v>9833.333333333334</v>
      </c>
      <c r="D40" s="170">
        <f>IFERROR(DATE(YEAR(B40),MONTH(B40),1)," ")</f>
        <v>43132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43165</v>
      </c>
      <c r="C41" s="27">
        <f>IF(B41&lt;&gt;"",IF(COUNT($A$33:A41)&lt;=$G$39,0,$G$41)+IF(COUNT($A$33:A41)&lt;=$G$40,0,$G$42),0)</f>
        <v>9833.333333333334</v>
      </c>
      <c r="D41" s="170">
        <f>IFERROR(DATE(YEAR(B41),MONTH(B41),1)," ")</f>
        <v>43160</v>
      </c>
      <c r="F41" t="s">
        <v>227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43196</v>
      </c>
      <c r="C42" s="27">
        <f>IF(B42&lt;&gt;"",IF(COUNT($A$33:A42)&lt;=$G$39,0,$G$41)+IF(COUNT($A$33:A42)&lt;=$G$40,0,$G$42),0)</f>
        <v>9833.333333333334</v>
      </c>
      <c r="D42" s="170">
        <f>IFERROR(DATE(YEAR(B42),MONTH(B42),1)," ")</f>
        <v>43191</v>
      </c>
      <c r="F42" t="s">
        <v>228</v>
      </c>
      <c r="G42" s="73">
        <f>IFERROR(G35*G36*IF(G37="Monthly",G38/12,IF(G37="Fortnightly",G38/(365/14),G38/(365/28)))/(G38-G40),"")</f>
        <v>1500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43226</v>
      </c>
      <c r="C43" s="27">
        <f>IF(B43&lt;&gt;"",IF(COUNT($A$33:A43)&lt;=$G$39,0,$G$41)+IF(COUNT($A$33:A43)&lt;=$G$40,0,$G$42),0)</f>
        <v>9833.333333333334</v>
      </c>
      <c r="D43" s="170">
        <f>IFERROR(DATE(YEAR(B43),MONTH(B43),1)," ")</f>
        <v>43221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43257</v>
      </c>
      <c r="C44" s="27">
        <f>IF(B44&lt;&gt;"",IF(COUNT($A$33:A44)&lt;=$G$39,0,$G$41)+IF(COUNT($A$33:A44)&lt;=$G$40,0,$G$42),0)</f>
        <v>9833.333333333334</v>
      </c>
      <c r="D44" s="170">
        <f>IFERROR(DATE(YEAR(B44),MONTH(B44),1)," ")</f>
        <v>43252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94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102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102</v>
      </c>
      <c r="B41" s="191" t="s">
        <v>91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313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314</v>
      </c>
      <c r="H52" s="12" t="s">
        <v>315</v>
      </c>
      <c r="I52" s="12" t="s">
        <v>131</v>
      </c>
      <c r="AJ52" s="12"/>
    </row>
    <row r="53" spans="1:36" customHeight="1" ht="30">
      <c r="A53" s="11" t="s">
        <v>316</v>
      </c>
      <c r="B53" s="11" t="s">
        <v>317</v>
      </c>
      <c r="C53" s="11" t="s">
        <v>318</v>
      </c>
      <c r="D53" s="10" t="s">
        <v>229</v>
      </c>
      <c r="E53" s="10" t="s">
        <v>188</v>
      </c>
      <c r="F53" s="10" t="s">
        <v>248</v>
      </c>
      <c r="G53" s="10" t="s">
        <v>319</v>
      </c>
      <c r="H53" s="10" t="s">
        <v>320</v>
      </c>
      <c r="I53" s="10" t="s">
        <v>320</v>
      </c>
      <c r="AJ53" s="12"/>
    </row>
    <row r="54" spans="1:36">
      <c r="A54">
        <v>8</v>
      </c>
      <c r="B54" s="12" t="s">
        <v>321</v>
      </c>
      <c r="C54" s="12" t="s">
        <v>322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323</v>
      </c>
      <c r="C55" s="12" t="s">
        <v>322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324</v>
      </c>
      <c r="C56" s="116" t="s">
        <v>325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326</v>
      </c>
      <c r="C57" s="116" t="s">
        <v>322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327</v>
      </c>
      <c r="C58" s="116" t="s">
        <v>322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328</v>
      </c>
      <c r="C59" s="116" t="s">
        <v>325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329</v>
      </c>
      <c r="C60" s="116" t="s">
        <v>325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330</v>
      </c>
      <c r="C61" s="116" t="s">
        <v>325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331</v>
      </c>
      <c r="C62" s="116" t="s">
        <v>325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332</v>
      </c>
      <c r="C63" s="116" t="s">
        <v>325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333</v>
      </c>
      <c r="C64" s="116" t="s">
        <v>325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334</v>
      </c>
      <c r="C65" s="12" t="s">
        <v>325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335</v>
      </c>
      <c r="C66" s="12" t="s">
        <v>325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336</v>
      </c>
      <c r="C67" s="12" t="s">
        <v>325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337</v>
      </c>
      <c r="C68" s="12" t="s">
        <v>325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338</v>
      </c>
      <c r="C69" s="12" t="s">
        <v>325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339</v>
      </c>
      <c r="C70" s="12" t="s">
        <v>325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340</v>
      </c>
      <c r="C71" s="12" t="s">
        <v>322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341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342</v>
      </c>
      <c r="B76" s="11" t="s">
        <v>343</v>
      </c>
      <c r="C76" s="11" t="s">
        <v>166</v>
      </c>
      <c r="D76" s="11" t="s">
        <v>344</v>
      </c>
      <c r="E76" s="11" t="s">
        <v>80</v>
      </c>
      <c r="F76" s="11" t="s">
        <v>345</v>
      </c>
      <c r="G76" s="11" t="s">
        <v>346</v>
      </c>
      <c r="H76" s="11" t="s">
        <v>347</v>
      </c>
      <c r="I76" s="11" t="s">
        <v>225</v>
      </c>
      <c r="J76" s="11" t="s">
        <v>348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349</v>
      </c>
      <c r="E77" s="12" t="s">
        <v>91</v>
      </c>
      <c r="F77" s="12" t="s">
        <v>91</v>
      </c>
      <c r="G77" s="12" t="s">
        <v>350</v>
      </c>
      <c r="H77" s="12" t="s">
        <v>315</v>
      </c>
      <c r="I77" s="12" t="s">
        <v>351</v>
      </c>
      <c r="J77" s="136" t="s">
        <v>352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100</v>
      </c>
      <c r="D78" s="133"/>
      <c r="E78" s="12" t="s">
        <v>353</v>
      </c>
      <c r="F78" s="12" t="s">
        <v>354</v>
      </c>
      <c r="G78" s="12" t="s">
        <v>355</v>
      </c>
      <c r="H78" s="12" t="s">
        <v>131</v>
      </c>
      <c r="I78" s="12" t="s">
        <v>356</v>
      </c>
      <c r="J78" s="70" t="s">
        <v>95</v>
      </c>
      <c r="K78" s="12" t="s">
        <v>91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166</v>
      </c>
      <c r="J79" s="70" t="s">
        <v>90</v>
      </c>
      <c r="K79" s="12" t="s">
        <v>91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98</v>
      </c>
      <c r="F80" s="12" t="s">
        <v>99</v>
      </c>
      <c r="J80" s="70" t="s">
        <v>362</v>
      </c>
      <c r="K80" s="12" t="s">
        <v>92</v>
      </c>
      <c r="AJ80" s="12"/>
    </row>
    <row r="81" spans="1:36">
      <c r="B81" s="176">
        <v>30</v>
      </c>
      <c r="C81" s="12" t="s">
        <v>363</v>
      </c>
      <c r="D81" s="12">
        <f>D80+1</f>
        <v>3</v>
      </c>
      <c r="J81" s="70" t="s">
        <v>97</v>
      </c>
      <c r="K81" s="12" t="s">
        <v>92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96</v>
      </c>
      <c r="D86" s="12">
        <f>D85+1</f>
        <v>8</v>
      </c>
    </row>
    <row r="87" spans="1:36">
      <c r="B87" s="176">
        <v>89.99999999999999</v>
      </c>
      <c r="C87" s="12" t="s">
        <v>151</v>
      </c>
      <c r="D87" s="12">
        <f>D86+1</f>
        <v>9</v>
      </c>
    </row>
    <row r="88" spans="1:36">
      <c r="B88" s="176">
        <v>99.99999999999999</v>
      </c>
      <c r="C88" s="12" t="s">
        <v>152</v>
      </c>
      <c r="D88" s="12">
        <f>D87+1</f>
        <v>10</v>
      </c>
    </row>
    <row r="89" spans="1:36">
      <c r="C89" s="12" t="s">
        <v>153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