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<sst xmlns="http://schemas.openxmlformats.org/spreadsheetml/2006/main" uniqueCount="371">
  <si>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</si>
  <si>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</si>
  <si>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</si>
  <si>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</si>
  <si>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</si>
  <si>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</si>
  <si>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</si>
  <si>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</si>
  <si>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</si>
  <si>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</si>
  <si>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</si>
  <si>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</si>
  <si>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</si>
  <si>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</si>
  <si>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</si>
  <si>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</si>
  <si>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</si>
  <si>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</si>
  <si>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</si>
  <si>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</si>
  <si>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</si>
  <si>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</si>
  <si>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</si>
  <si>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</si>
  <si>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</si>
  <si>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</si>
  <si>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</si>
  <si>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</si>
  <si>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</si>
  <si>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</si>
  <si>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</si>
  <si>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</si>
  <si>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</si>
  <si>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</si>
  <si>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</si>
  <si>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</si>
  <si>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</si>
  <si>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</si>
  <si>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</si>
  <si>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</si>
  <si>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</si>
  <si>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</si>
  <si>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</si>
  <si>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</si>
  <si>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</si>
  <si>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</si>
  <si>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</si>
  <si>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</si>
  <si>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</si>
  <si>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</si>
  <si>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</si>
  <si>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</si>
  <si>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</si>
  <si>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</si>
  <si>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</si>
  <si>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</si>
  <si>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</si>
  <si>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</si>
  <si>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</si>
  <si>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</si>
  <si>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</si>
  <si>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</si>
  <si>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</si>
  <si>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</si>
  <si>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</si>
  <si>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</si>
  <si>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</si>
  <si>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</si>
  <si>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</si>
  <si>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</si>
  <si>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</si>
  <si>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</si>
  <si>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</si>
  <si>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</si>
  <si>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</si>
  <si>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</si>
  <si>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</si>
  <si>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</si>
  <si>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</si>
  <si>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</si>
  <si>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</si>
  <si>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</si>
  <si>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</si>
  <si>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</si>
  <si>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</si>
  <si>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</si>
  <si>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</si>
  <si>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</si>
  <si>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</si>
  <si>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</si>
  <si>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</si>
  <si>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</si>
  <si>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No</t>
  </si>
  <si>
    <t>Yes without the use of a pump</t>
  </si>
  <si>
    <t>September</t>
  </si>
  <si>
    <t>Beans</t>
  </si>
  <si>
    <t>Home recycled</t>
  </si>
  <si>
    <t>Cabbages</t>
  </si>
  <si>
    <t>Yes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</si>
  <si>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</si>
  <si>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</si>
  <si>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</si>
  <si>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</si>
  <si>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</si>
  <si>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</si>
  <si>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</si>
  <si>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</si>
  <si>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</si>
  <si>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</si>
  <si>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</si>
  <si>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</si>
  <si>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</si>
  <si>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</si>
  <si>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</si>
  <si>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</si>
  <si>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</si>
  <si>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</si>
  <si>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</si>
  <si>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</si>
  <si>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</si>
  <si>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</si>
  <si>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</si>
  <si>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</si>
  <si>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</si>
  <si>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</si>
  <si>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</si>
  <si>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</si>
  <si>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</si>
  <si>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</si>
  <si>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</si>
  <si>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</si>
  <si>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</si>
  <si>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</si>
  <si>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</si>
  <si>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</si>
  <si>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</si>
  <si>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</si>
  <si>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</si>
  <si>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</si>
  <si>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</si>
  <si>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</si>
  <si>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</si>
  <si>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</si>
  <si>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</si>
  <si>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</si>
  <si>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</si>
  <si>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9/30/2016</t>
  </si>
  <si>
    <t>Musoni kenya ltd</t>
  </si>
  <si>
    <t>well paid</t>
  </si>
  <si>
    <t>2/17/2017</t>
  </si>
  <si>
    <t>mobile banking</t>
  </si>
  <si>
    <t>4/27/2017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</si>
  <si>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</si>
  <si>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</si>
  <si>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</si>
  <si>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</si>
  <si>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</si>
  <si>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</si>
  <si>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</si>
  <si>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</si>
  <si>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</si>
  <si>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</si>
  <si>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</si>
  <si>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</si>
  <si>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2017/6/6</t>
  </si>
  <si>
    <t>Loan terms</t>
  </si>
  <si>
    <t>Expected disbursement date</t>
  </si>
  <si>
    <t>Expected first repayment date</t>
  </si>
  <si>
    <t>2017/7/6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</si>
  <si>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</si>
  <si>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</si>
  <si>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</si>
  <si>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</si>
  <si>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</si>
  <si>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</si>
  <si>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</si>
  <si>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</si>
  <si>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</si>
  <si>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</si>
  <si>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</si>
  <si>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</si>
  <si>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</si>
  <si>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</si>
  <si>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</si>
  <si>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</si>
  <si>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</si>
  <si>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</si>
  <si>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</si>
  <si>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</si>
  <si>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</si>
  <si>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</si>
  <si>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</si>
  <si>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</si>
  <si>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</si>
  <si>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</si>
  <si>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</si>
  <si>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</si>
  <si>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</si>
  <si>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</si>
  <si>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</si>
  <si>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</si>
  <si>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</si>
  <si>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</si>
  <si>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</si>
  <si>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</si>
  <si>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</si>
  <si>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</si>
  <si>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</si>
  <si>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</si>
  <si>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</si>
  <si>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</si>
  <si>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</si>
  <si>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</si>
  <si>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</si>
  <si>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</si>
  <si>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</si>
  <si>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</si>
  <si>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</si>
  <si>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</si>
  <si>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</si>
  <si>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</si>
  <si>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</si>
  <si>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</si>
  <si>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</si>
  <si>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</si>
  <si>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</si>
  <si>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</si>
  <si>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</si>
  <si>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</si>
  <si>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</si>
  <si>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</si>
  <si>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</si>
  <si>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</si>
  <si>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</si>
  <si>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</si>
  <si>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</si>
  <si>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</si>
  <si>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</si>
  <si>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</si>
  <si>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</si>
  <si>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</si>
  <si>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</si>
  <si>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</si>
  <si>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</si>
  <si>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</si>
  <si>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</si>
  <si>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</si>
  <si>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</si>
  <si>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</si>
  <si>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</si>
  <si>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</si>
  <si>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</si>
  <si>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</si>
  <si>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</si>
  <si>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</si>
  <si>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</si>
  <si>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</si>
  <si>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</si>
  <si>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</si>
  <si>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</si>
  <si>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</si>
  <si>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</si>
  <si>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</si>
  <si>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</si>
  <si>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</si>
  <si>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</si>
  <si>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</si>
  <si>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</si>
  <si>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</si>
  <si>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</si>
  <si>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</si>
  <si>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</si>
  <si>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</si>
  <si>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</si>
  <si>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</si>
  <si>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</si>
  <si>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</si>
  <si>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</si>
  <si>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</si>
  <si>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</si>
  <si>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</si>
  <si>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</si>
  <si>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</si>
  <si>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</si>
  <si>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</si>
  <si>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</si>
  <si>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</si>
  <si>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</si>
  <si>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</si>
  <si>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</si>
  <si>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</si>
  <si>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</si>
  <si>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</si>
  <si>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</si>
  <si>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</si>
  <si>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</si>
  <si>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</si>
  <si>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</si>
  <si>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</si>
  <si>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</si>
  <si>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</si>
  <si>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</si>
  <si>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</si>
  <si>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</si>
  <si>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</si>
  <si>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</si>
  <si>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</si>
  <si>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</si>
  <si>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</si>
  <si>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</si>
  <si>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</si>
  <si>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</si>
  <si>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</si>
  <si>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</si>
  <si>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</si>
  <si>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</si>
  <si>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</si>
  <si>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</si>
  <si>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</si>
  <si>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</si>
  <si>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</si>
  <si>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</si>
  <si>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</si>
  <si>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</si>
  <si>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</si>
  <si>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</si>
  <si>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</si>
  <si>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</si>
  <si>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</si>
  <si>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</si>
  <si>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</si>
  <si>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</si>
  <si>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</si>
  <si>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</si>
  <si>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</si>
  <si>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</si>
  <si>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</si>
  <si>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</si>
  <si>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</si>
  <si>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</si>
  <si>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</si>
  <si>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</si>
  <si>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</si>
  <si>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</si>
  <si>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</si>
  <si>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</si>
  <si>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</si>
  <si>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</si>
  <si>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</si>
  <si>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</si>
  <si>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</si>
  <si>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</si>
  <si>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</si>
  <si>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</si>
  <si>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</si>
  <si>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</si>
  <si>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</si>
  <si>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</si>
  <si>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</si>
  <si>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</si>
  <si>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</si>
  <si>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</si>
  <si>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</si>
  <si>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</si>
  <si>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</si>
  <si>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</si>
  <si>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June</t>
  </si>
  <si>
    <t>July</t>
  </si>
  <si>
    <t>August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</si>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</sst>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0.4703003611933902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0.004075815956482321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10833.33333333333</v>
      </c>
    </row>
    <row r="17" spans="1:7">
      <c r="B17" s="1" t="s">
        <v>11</v>
      </c>
      <c r="C17" s="36">
        <f>SUM(Output!B6:M6)</f>
        <v>158985.6383373704</v>
      </c>
    </row>
    <row r="18" spans="1:7">
      <c r="B18" s="1" t="s">
        <v>12</v>
      </c>
      <c r="C18" s="36">
        <f>MIN(Output!B6:M6)</f>
        <v>-9785.160219522517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22990.21478047749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40666.66666666666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5819.988374854991</v>
      </c>
      <c r="C6" s="51">
        <f>C30-C88</f>
        <v>12352.77451943331</v>
      </c>
      <c r="D6" s="51">
        <f>D30-D88</f>
        <v>22990.21478047749</v>
      </c>
      <c r="E6" s="51">
        <f>E30-E88</f>
        <v>-9785.160219522517</v>
      </c>
      <c r="F6" s="51">
        <f>F30-F88</f>
        <v>17532.83978047748</v>
      </c>
      <c r="G6" s="51">
        <f>G30-G88</f>
        <v>17532.83978047748</v>
      </c>
      <c r="H6" s="51">
        <f>H30-H88</f>
        <v>17532.83978047748</v>
      </c>
      <c r="I6" s="51">
        <f>I30-I88</f>
        <v>22306.58978047749</v>
      </c>
      <c r="J6" s="51">
        <f>J30-J88</f>
        <v>13604.19241878471</v>
      </c>
      <c r="K6" s="51">
        <f>K30-K88</f>
        <v>4032.839780477483</v>
      </c>
      <c r="L6" s="51">
        <f>L30-L88</f>
        <v>17532.83978047748</v>
      </c>
      <c r="M6" s="51">
        <f>M30-M88</f>
        <v>17532.83978047748</v>
      </c>
      <c r="N6" s="51">
        <f>N30-N88</f>
        <v>17532.83978047748</v>
      </c>
      <c r="O6" s="51">
        <f>O30-O88</f>
        <v>22306.58978047749</v>
      </c>
      <c r="P6" s="51">
        <f>P30-P88</f>
        <v>22990.21478047749</v>
      </c>
      <c r="Q6" s="51">
        <f>Q30-Q88</f>
        <v>-9785.160219522517</v>
      </c>
      <c r="R6" s="51">
        <f>R30-R88</f>
        <v>17532.83978047748</v>
      </c>
      <c r="S6" s="51">
        <f>S30-S88</f>
        <v>17532.83978047748</v>
      </c>
      <c r="T6" s="51">
        <f>T30-T88</f>
        <v>17532.83978047748</v>
      </c>
      <c r="U6" s="51">
        <f>U30-U88</f>
        <v>22306.58978047749</v>
      </c>
      <c r="V6" s="51">
        <f>V30-V88</f>
        <v>13604.19241878471</v>
      </c>
      <c r="W6" s="51">
        <f>W30-W88</f>
        <v>4032.839780477483</v>
      </c>
      <c r="X6" s="51">
        <f>X30-X88</f>
        <v>17532.83978047748</v>
      </c>
      <c r="Y6" s="51">
        <f>Y30-Y88</f>
        <v>17532.83978047748</v>
      </c>
      <c r="Z6" s="51">
        <f>SUMIF($B$13:$Y$13,"Yes",B6:Y6)</f>
        <v>264628.6418007128</v>
      </c>
      <c r="AA6" s="51">
        <f>AA30-AA88</f>
        <v>158985.6383373704</v>
      </c>
      <c r="AB6" s="51">
        <f>AB30-AB88</f>
        <v>339637.9433414072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-1399</v>
      </c>
      <c r="I7" s="80">
        <f>IF(ISERROR(VLOOKUP(MONTH(I5),Inputs!$D$66:$D$71,1,0)),"",INDEX(Inputs!$B$66:$B$71,MATCH(MONTH(Output!I5),Inputs!$D$66:$D$71,0))-INDEX(Inputs!$C$66:$C$71,MATCH(MONTH(Output!I5),Inputs!$D$66:$D$71,0)))</f>
        <v>-21</v>
      </c>
      <c r="J7" s="80">
        <f>IF(ISERROR(VLOOKUP(MONTH(J5),Inputs!$D$66:$D$71,1,0)),"",INDEX(Inputs!$B$66:$B$71,MATCH(MONTH(Output!J5),Inputs!$D$66:$D$71,0))-INDEX(Inputs!$C$66:$C$71,MATCH(MONTH(Output!J5),Inputs!$D$66:$D$71,0)))</f>
        <v>582</v>
      </c>
      <c r="K7" s="80">
        <f>IF(ISERROR(VLOOKUP(MONTH(K5),Inputs!$D$66:$D$71,1,0)),"",INDEX(Inputs!$B$66:$B$71,MATCH(MONTH(Output!K5),Inputs!$D$66:$D$71,0))-INDEX(Inputs!$C$66:$C$71,MATCH(MONTH(Output!K5),Inputs!$D$66:$D$71,0)))</f>
        <v>9409</v>
      </c>
      <c r="L7" s="80">
        <f>IF(ISERROR(VLOOKUP(MONTH(L5),Inputs!$D$66:$D$71,1,0)),"",INDEX(Inputs!$B$66:$B$71,MATCH(MONTH(Output!L5),Inputs!$D$66:$D$71,0))-INDEX(Inputs!$C$66:$C$71,MATCH(MONTH(Output!L5),Inputs!$D$66:$D$71,0)))</f>
        <v>499</v>
      </c>
      <c r="M7" s="80">
        <f>IF(ISERROR(VLOOKUP(MONTH(M5),Inputs!$D$66:$D$71,1,0)),"",INDEX(Inputs!$B$66:$B$71,MATCH(MONTH(Output!M5),Inputs!$D$66:$D$71,0))-INDEX(Inputs!$C$66:$C$71,MATCH(MONTH(Output!M5),Inputs!$D$66:$D$71,0)))</f>
        <v>2602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-1399</v>
      </c>
      <c r="U7" s="80">
        <f>IF(ISERROR(VLOOKUP(MONTH(U5),Inputs!$D$66:$D$71,1,0)),"",INDEX(Inputs!$B$66:$B$71,MATCH(MONTH(Output!U5),Inputs!$D$66:$D$71,0))-INDEX(Inputs!$C$66:$C$71,MATCH(MONTH(Output!U5),Inputs!$D$66:$D$71,0)))</f>
        <v>-21</v>
      </c>
      <c r="V7" s="80">
        <f>IF(ISERROR(VLOOKUP(MONTH(V5),Inputs!$D$66:$D$71,1,0)),"",INDEX(Inputs!$B$66:$B$71,MATCH(MONTH(Output!V5),Inputs!$D$66:$D$71,0))-INDEX(Inputs!$C$66:$C$71,MATCH(MONTH(Output!V5),Inputs!$D$66:$D$71,0)))</f>
        <v>582</v>
      </c>
      <c r="W7" s="80">
        <f>IF(ISERROR(VLOOKUP(MONTH(W5),Inputs!$D$66:$D$71,1,0)),"",INDEX(Inputs!$B$66:$B$71,MATCH(MONTH(Output!W5),Inputs!$D$66:$D$71,0))-INDEX(Inputs!$C$66:$C$71,MATCH(MONTH(Output!W5),Inputs!$D$66:$D$71,0)))</f>
        <v>9409</v>
      </c>
      <c r="X7" s="80">
        <f>IF(ISERROR(VLOOKUP(MONTH(X5),Inputs!$D$66:$D$71,1,0)),"",INDEX(Inputs!$B$66:$B$71,MATCH(MONTH(Output!X5),Inputs!$D$66:$D$71,0))-INDEX(Inputs!$C$66:$C$71,MATCH(MONTH(Output!X5),Inputs!$D$66:$D$71,0)))</f>
        <v>499</v>
      </c>
      <c r="Y7" s="80">
        <f>IF(ISERROR(VLOOKUP(MONTH(Y5),Inputs!$D$66:$D$71,1,0)),"",INDEX(Inputs!$B$66:$B$71,MATCH(MONTH(Output!Y5),Inputs!$D$66:$D$71,0))-INDEX(Inputs!$C$66:$C$71,MATCH(MONTH(Output!Y5),Inputs!$D$66:$D$71,0)))</f>
        <v>2602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10833.33333333333</v>
      </c>
      <c r="D10" s="37">
        <f>SUMPRODUCT((Calculations!$D$33:$D$84=Output!D5)+0,Calculations!$C$33:$C$84)</f>
        <v>10833.33333333333</v>
      </c>
      <c r="E10" s="37">
        <f>SUMPRODUCT((Calculations!$D$33:$D$84=Output!E5)+0,Calculations!$C$33:$C$84)</f>
        <v>10833.33333333333</v>
      </c>
      <c r="F10" s="37">
        <f>SUMPRODUCT((Calculations!$D$33:$D$84=Output!F5)+0,Calculations!$C$33:$C$84)</f>
        <v>10833.33333333333</v>
      </c>
      <c r="G10" s="37">
        <f>SUMPRODUCT((Calculations!$D$33:$D$84=Output!G5)+0,Calculations!$C$33:$C$84)</f>
        <v>10833.33333333333</v>
      </c>
      <c r="H10" s="37">
        <f>SUMPRODUCT((Calculations!$D$33:$D$84=Output!H5)+0,Calculations!$C$33:$C$84)</f>
        <v>10833.33333333333</v>
      </c>
      <c r="I10" s="37">
        <f>SUMPRODUCT((Calculations!$D$33:$D$84=Output!I5)+0,Calculations!$C$33:$C$84)</f>
        <v>10833.33333333333</v>
      </c>
      <c r="J10" s="37">
        <f>SUMPRODUCT((Calculations!$D$33:$D$84=Output!J5)+0,Calculations!$C$33:$C$84)</f>
        <v>10833.33333333333</v>
      </c>
      <c r="K10" s="37">
        <f>SUMPRODUCT((Calculations!$D$33:$D$84=Output!K5)+0,Calculations!$C$33:$C$84)</f>
        <v>10833.33333333333</v>
      </c>
      <c r="L10" s="37">
        <f>SUMPRODUCT((Calculations!$D$33:$D$84=Output!L5)+0,Calculations!$C$33:$C$84)</f>
        <v>10833.33333333333</v>
      </c>
      <c r="M10" s="37">
        <f>SUMPRODUCT((Calculations!$D$33:$D$84=Output!M5)+0,Calculations!$C$33:$C$84)</f>
        <v>10833.33333333333</v>
      </c>
      <c r="N10" s="37">
        <f>SUMPRODUCT((Calculations!$D$33:$D$84=Output!N5)+0,Calculations!$C$33:$C$84)</f>
        <v>10833.33333333333</v>
      </c>
      <c r="O10" s="37">
        <f>SUMPRODUCT((Calculations!$D$33:$D$84=Output!O5)+0,Calculations!$C$33:$C$84)</f>
        <v>10833.33333333333</v>
      </c>
      <c r="P10" s="37">
        <f>SUMPRODUCT((Calculations!$D$33:$D$84=Output!P5)+0,Calculations!$C$33:$C$84)</f>
        <v>10833.33333333333</v>
      </c>
      <c r="Q10" s="37">
        <f>SUMPRODUCT((Calculations!$D$33:$D$84=Output!Q5)+0,Calculations!$C$33:$C$84)</f>
        <v>10833.33333333333</v>
      </c>
      <c r="R10" s="37">
        <f>SUMPRODUCT((Calculations!$D$33:$D$84=Output!R5)+0,Calculations!$C$33:$C$84)</f>
        <v>10833.33333333333</v>
      </c>
      <c r="S10" s="37">
        <f>SUMPRODUCT((Calculations!$D$33:$D$84=Output!S5)+0,Calculations!$C$33:$C$84)</f>
        <v>10833.33333333333</v>
      </c>
      <c r="T10" s="37">
        <f>SUMPRODUCT((Calculations!$D$33:$D$84=Output!T5)+0,Calculations!$C$33:$C$84)</f>
        <v>10833.33333333333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195000</v>
      </c>
      <c r="AA10" s="37">
        <f>SUM(B10:M10)</f>
        <v>119166.6666666667</v>
      </c>
      <c r="AB10" s="37">
        <f>SUM(B10:Y10)</f>
        <v>195000</v>
      </c>
    </row>
    <row r="11" spans="1:30" customHeight="1" ht="15.75">
      <c r="A11" s="43" t="s">
        <v>31</v>
      </c>
      <c r="B11" s="80">
        <f>B6+B9-B10</f>
        <v>155819.988374855</v>
      </c>
      <c r="C11" s="80">
        <f>C6+C9-C10</f>
        <v>1519.441186099973</v>
      </c>
      <c r="D11" s="80">
        <f>D6+D9-D10</f>
        <v>12156.88144714415</v>
      </c>
      <c r="E11" s="80">
        <f>E6+E9-E10</f>
        <v>-20618.49355285585</v>
      </c>
      <c r="F11" s="80">
        <f>F6+F9-F10</f>
        <v>6699.506447144146</v>
      </c>
      <c r="G11" s="80">
        <f>G6+G9-G10</f>
        <v>6699.506447144146</v>
      </c>
      <c r="H11" s="80">
        <f>H6+H9-H10</f>
        <v>6699.506447144146</v>
      </c>
      <c r="I11" s="80">
        <f>I6+I9-I10</f>
        <v>11473.25644714415</v>
      </c>
      <c r="J11" s="80">
        <f>J6+J9-J10</f>
        <v>2770.859085451377</v>
      </c>
      <c r="K11" s="80">
        <f>K6+K9-K10</f>
        <v>-6800.493552855851</v>
      </c>
      <c r="L11" s="80">
        <f>L6+L9-L10</f>
        <v>6699.506447144146</v>
      </c>
      <c r="M11" s="80">
        <f>M6+M9-M10</f>
        <v>6699.506447144146</v>
      </c>
      <c r="N11" s="80">
        <f>N6+N9-N10</f>
        <v>6699.506447144146</v>
      </c>
      <c r="O11" s="80">
        <f>O6+O9-O10</f>
        <v>11473.25644714415</v>
      </c>
      <c r="P11" s="80">
        <f>P6+P9-P10</f>
        <v>12156.88144714415</v>
      </c>
      <c r="Q11" s="80">
        <f>Q6+Q9-Q10</f>
        <v>-20618.49355285585</v>
      </c>
      <c r="R11" s="80">
        <f>R6+R9-R10</f>
        <v>6699.506447144146</v>
      </c>
      <c r="S11" s="80">
        <f>S6+S9-S10</f>
        <v>6699.506447144146</v>
      </c>
      <c r="T11" s="80">
        <f>T6+T9-T10</f>
        <v>6699.506447144146</v>
      </c>
      <c r="U11" s="80">
        <f>U6+U9-U10</f>
        <v>22306.58978047749</v>
      </c>
      <c r="V11" s="80">
        <f>V6+V9-V10</f>
        <v>13604.19241878471</v>
      </c>
      <c r="W11" s="80">
        <f>W6+W9-W10</f>
        <v>4032.839780477483</v>
      </c>
      <c r="X11" s="80">
        <f>X6+X9-X10</f>
        <v>17532.83978047748</v>
      </c>
      <c r="Y11" s="80">
        <f>Y6+Y9-Y10</f>
        <v>17532.83978047748</v>
      </c>
      <c r="Z11" s="85">
        <f>SUMIF($B$13:$Y$13,"Yes",B11:Y11)</f>
        <v>219628.6418007126</v>
      </c>
      <c r="AA11" s="80">
        <f>SUM(B11:M11)</f>
        <v>189818.9716707036</v>
      </c>
      <c r="AB11" s="46">
        <f>SUM(B11:Y11)</f>
        <v>294637.9433414073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0.06441788281817704</v>
      </c>
      <c r="D12" s="82">
        <f>IF(D13="Yes",IF(SUM($B$10:D10)/(SUM($B$6:D6)+SUM($B$9:D9))&lt;0,999.99,SUM($B$10:D10)/(SUM($B$6:D6)+SUM($B$9:D9))),"")</f>
        <v>0.1133413327738028</v>
      </c>
      <c r="E12" s="82">
        <f>IF(E13="Yes",IF(SUM($B$10:E10)/(SUM($B$6:E6)+SUM($B$9:E9))&lt;0,999.99,SUM($B$10:E10)/(SUM($B$6:E6)+SUM($B$9:E9))),"")</f>
        <v>0.179183984326086</v>
      </c>
      <c r="F12" s="82">
        <f>IF(F13="Yes",IF(SUM($B$10:F10)/(SUM($B$6:F6)+SUM($B$9:F9))&lt;0,999.99,SUM($B$10:F10)/(SUM($B$6:F6)+SUM($B$9:F9))),"")</f>
        <v>0.2178532509798145</v>
      </c>
      <c r="G12" s="82">
        <f>IF(G13="Yes",IF(SUM($B$10:G10)/(SUM($B$6:G6)+SUM($B$9:G9))&lt;0,999.99,SUM($B$10:G10)/(SUM($B$6:G6)+SUM($B$9:G9))),"")</f>
        <v>0.2502577689484149</v>
      </c>
      <c r="H12" s="82">
        <f>IF(H13="Yes",IF(SUM($B$10:H10)/(SUM($B$6:H6)+SUM($B$9:H9))&lt;0,999.99,SUM($B$10:H10)/(SUM($B$6:H6)+SUM($B$9:H9))),"")</f>
        <v>0.277805870841053</v>
      </c>
      <c r="I12" s="82">
        <f>IF(I13="Yes",IF(SUM($B$10:I10)/(SUM($B$6:I6)+SUM($B$9:I9))&lt;0,999.99,SUM($B$10:I10)/(SUM($B$6:I6)+SUM($B$9:I9))),"")</f>
        <v>0.2958969383803409</v>
      </c>
      <c r="J12" s="82">
        <f>IF(J13="Yes",IF(SUM($B$10:J10)/(SUM($B$6:J6)+SUM($B$9:J9))&lt;0,999.99,SUM($B$10:J10)/(SUM($B$6:J6)+SUM($B$9:J9))),"")</f>
        <v>0.3211219082596198</v>
      </c>
      <c r="K12" s="82">
        <f>IF(K13="Yes",IF(SUM($B$10:K10)/(SUM($B$6:K6)+SUM($B$9:K9))&lt;0,999.99,SUM($B$10:K10)/(SUM($B$6:K6)+SUM($B$9:K9))),"")</f>
        <v>0.3559433946891889</v>
      </c>
      <c r="L12" s="82">
        <f>IF(L13="Yes",IF(SUM($B$10:L10)/(SUM($B$6:L6)+SUM($B$9:L9))&lt;0,999.99,SUM($B$10:L10)/(SUM($B$6:L6)+SUM($B$9:L9))),"")</f>
        <v>0.3717011257731539</v>
      </c>
      <c r="M12" s="82">
        <f>IF(M13="Yes",IF(SUM($B$10:M10)/(SUM($B$6:M6)+SUM($B$9:M9))&lt;0,999.99,SUM($B$10:M10)/(SUM($B$6:M6)+SUM($B$9:M9))),"")</f>
        <v>0.3856705680817205</v>
      </c>
      <c r="N12" s="82">
        <f>IF(N13="Yes",IF(SUM($B$10:N10)/(SUM($B$6:N6)+SUM($B$9:N9))&lt;0,999.99,SUM($B$10:N10)/(SUM($B$6:N6)+SUM($B$9:N9))),"")</f>
        <v>0.3981397951790038</v>
      </c>
      <c r="O12" s="82">
        <f>IF(O13="Yes",IF(SUM($B$10:O10)/(SUM($B$6:O6)+SUM($B$9:O9))&lt;0,999.99,SUM($B$10:O10)/(SUM($B$6:O6)+SUM($B$9:O9))),"")</f>
        <v>0.4037362744078446</v>
      </c>
      <c r="P12" s="82">
        <f>IF(P13="Yes",IF(SUM($B$10:P10)/(SUM($B$6:P6)+SUM($B$9:P9))&lt;0,999.99,SUM($B$10:P10)/(SUM($B$6:P6)+SUM($B$9:P9))),"")</f>
        <v>0.4079086410164742</v>
      </c>
      <c r="Q12" s="82">
        <f>IF(Q13="Yes",IF(SUM($B$10:Q10)/(SUM($B$6:Q6)+SUM($B$9:Q9))&lt;0,999.99,SUM($B$10:Q10)/(SUM($B$6:Q6)+SUM($B$9:Q9))),"")</f>
        <v>0.4488576776322731</v>
      </c>
      <c r="R12" s="82">
        <f>IF(R13="Yes",IF(SUM($B$10:R10)/(SUM($B$6:R6)+SUM($B$9:R9))&lt;0,999.99,SUM($B$10:R10)/(SUM($B$6:R6)+SUM($B$9:R9))),"")</f>
        <v>0.4566655616515191</v>
      </c>
      <c r="S12" s="82">
        <f>IF(S13="Yes",IF(SUM($B$10:S10)/(SUM($B$6:S6)+SUM($B$9:S9))&lt;0,999.99,SUM($B$10:S10)/(SUM($B$6:S6)+SUM($B$9:S9))),"")</f>
        <v>0.4637839678226612</v>
      </c>
      <c r="T12" s="82">
        <f>IF(T13="Yes",IF(SUM($B$10:T10)/(SUM($B$6:T6)+SUM($B$9:T9))&lt;0,999.99,SUM($B$10:T10)/(SUM($B$6:T6)+SUM($B$9:T9))),"")</f>
        <v>0.4703003611933902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4961.25</v>
      </c>
      <c r="D19" s="36">
        <f>P19</f>
        <v>5457.375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4961.25</v>
      </c>
      <c r="J19" s="36">
        <f>V19</f>
        <v>5457.375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4961.25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5457.375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4961.25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5457.375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31255.875</v>
      </c>
      <c r="AA19" s="36">
        <f>SUM(B19:M19)</f>
        <v>20837.25</v>
      </c>
      <c r="AB19" s="36">
        <f>SUM(B19:Y19)</f>
        <v>41674.5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574875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30256.57894736842</v>
      </c>
      <c r="C30" s="19">
        <f>SUM(C18:C29)</f>
        <v>35217.82894736843</v>
      </c>
      <c r="D30" s="19">
        <f>SUM(D18:D29)</f>
        <v>35713.95394736843</v>
      </c>
      <c r="E30" s="19">
        <f>SUM(E18:E29)</f>
        <v>30256.57894736842</v>
      </c>
      <c r="F30" s="19">
        <f>SUM(F18:F29)</f>
        <v>30256.57894736842</v>
      </c>
      <c r="G30" s="19">
        <f>SUM(G18:G29)</f>
        <v>30256.57894736842</v>
      </c>
      <c r="H30" s="19">
        <f>SUM(H18:H29)</f>
        <v>30256.57894736842</v>
      </c>
      <c r="I30" s="19">
        <f>SUM(I18:I29)</f>
        <v>35217.82894736843</v>
      </c>
      <c r="J30" s="19">
        <f>SUM(J18:J29)</f>
        <v>35713.95394736843</v>
      </c>
      <c r="K30" s="19">
        <f>SUM(K18:K29)</f>
        <v>30256.57894736842</v>
      </c>
      <c r="L30" s="19">
        <f>SUM(L18:L29)</f>
        <v>30256.57894736842</v>
      </c>
      <c r="M30" s="19">
        <f>SUM(M18:M29)</f>
        <v>30256.57894736842</v>
      </c>
      <c r="N30" s="19">
        <f>SUM(N18:N29)</f>
        <v>30256.57894736842</v>
      </c>
      <c r="O30" s="19">
        <f>SUM(O18:O29)</f>
        <v>35217.82894736843</v>
      </c>
      <c r="P30" s="19">
        <f>SUM(P18:P29)</f>
        <v>35713.95394736843</v>
      </c>
      <c r="Q30" s="19">
        <f>SUM(Q18:Q29)</f>
        <v>30256.57894736842</v>
      </c>
      <c r="R30" s="19">
        <f>SUM(R18:R29)</f>
        <v>30256.57894736842</v>
      </c>
      <c r="S30" s="19">
        <f>SUM(S18:S29)</f>
        <v>30256.57894736842</v>
      </c>
      <c r="T30" s="19">
        <f>SUM(T18:T29)</f>
        <v>30256.57894736842</v>
      </c>
      <c r="U30" s="19">
        <f>SUM(U18:U29)</f>
        <v>35217.82894736843</v>
      </c>
      <c r="V30" s="19">
        <f>SUM(V18:V29)</f>
        <v>35713.95394736843</v>
      </c>
      <c r="W30" s="19">
        <f>SUM(W18:W29)</f>
        <v>30256.57894736842</v>
      </c>
      <c r="X30" s="19">
        <f>SUM(X18:X29)</f>
        <v>30256.57894736842</v>
      </c>
      <c r="Y30" s="19">
        <f>SUM(Y18:Y29)</f>
        <v>30256.57894736842</v>
      </c>
      <c r="Z30" s="19">
        <f>SUMIF($B$13:$Y$13,"Yes",B30:Y30)</f>
        <v>606130.8750000001</v>
      </c>
      <c r="AA30" s="19">
        <f>SUM(B30:M30)</f>
        <v>383916.1973684211</v>
      </c>
      <c r="AB30" s="19">
        <f>SUM(B30:Y30)</f>
        <v>767832.3947368423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18000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6000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18000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6000</v>
      </c>
      <c r="X36" s="36">
        <f>SUM(X37:X41)</f>
        <v>0</v>
      </c>
      <c r="Y36" s="36">
        <f>SUM(Y37:Y41)</f>
        <v>0</v>
      </c>
      <c r="Z36" s="36">
        <f>SUMIF($B$13:$Y$13,"Yes",B36:Y36)</f>
        <v>42000</v>
      </c>
      <c r="AA36" s="36">
        <f>SUM(B36:M36)</f>
        <v>24000</v>
      </c>
      <c r="AB36" s="36">
        <f>SUM(B36:Y36)</f>
        <v>48000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12000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24000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6000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6000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6000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6000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18000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 t="str">
        <f>Calculations!$A$6</f>
        <v>Cabbages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9318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7500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9318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7500</v>
      </c>
      <c r="X42" s="36">
        <f>SUM(X43:X47)</f>
        <v>0</v>
      </c>
      <c r="Y42" s="36">
        <f>SUM(Y43:Y47)</f>
        <v>0</v>
      </c>
      <c r="Z42" s="36">
        <f>SUMIF($B$13:$Y$13,"Yes",B42:Y42)</f>
        <v>26136</v>
      </c>
      <c r="AA42" s="36">
        <f>SUM(B42:M42)</f>
        <v>16818</v>
      </c>
      <c r="AB42" s="36">
        <f>SUM(B42:Y42)</f>
        <v>33636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1818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1818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3636.000000000001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7500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7500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7500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7500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22500</v>
      </c>
      <c r="AA44" s="36">
        <f>SUM(B44:M44)</f>
        <v>15000</v>
      </c>
      <c r="AB44" s="36">
        <f>SUM(B44:Y44)</f>
        <v>30000</v>
      </c>
    </row>
    <row r="45" spans="1:30" hidden="true" outlineLevel="1">
      <c r="A45" s="181" t="str">
        <f>Calculations!$A$6</f>
        <v>Cabbages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187.5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187.5</v>
      </c>
      <c r="J54" s="36">
        <f>V54</f>
        <v>9386.022361692772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187.5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187.5</v>
      </c>
      <c r="V54" s="46">
        <f>SUM(V55:V59)</f>
        <v>9386.022361692772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9948.522361692772</v>
      </c>
      <c r="AA54" s="46">
        <f>SUM(B54:M54)</f>
        <v>9761.022361692772</v>
      </c>
      <c r="AB54" s="46">
        <f>SUM(B54:Y54)</f>
        <v>19522.04472338554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9386.022361692772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9386.022361692772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9386.022361692772</v>
      </c>
      <c r="AA55" s="46">
        <f>SUM(B55:M55)</f>
        <v>9386.022361692772</v>
      </c>
      <c r="AB55" s="46">
        <f>SUM(B55:Y55)</f>
        <v>18772.04472338554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187.5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187.5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187.5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187.5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562.5</v>
      </c>
      <c r="AA56" s="46">
        <f>SUM(B56:M56)</f>
        <v>375</v>
      </c>
      <c r="AB56" s="46">
        <f>SUM(B56:Y56)</f>
        <v>750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Beans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Cabbages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28895.83333333332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3166.666666666666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19000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10036.23916689094</v>
      </c>
      <c r="C81" s="46">
        <f>(SUM($AA$18:$AA$29)-SUM($AA$36,$AA$42,$AA$48,$AA$54,$AA$60,$AA$66,$AA$72:$AA$79))*Parameters!$B$37/12</f>
        <v>10036.23916689094</v>
      </c>
      <c r="D81" s="46">
        <f>(SUM($AA$18:$AA$29)-SUM($AA$36,$AA$42,$AA$48,$AA$54,$AA$60,$AA$66,$AA$72:$AA$79))*Parameters!$B$37/12</f>
        <v>10036.23916689094</v>
      </c>
      <c r="E81" s="46">
        <f>(SUM($AA$18:$AA$29)-SUM($AA$36,$AA$42,$AA$48,$AA$54,$AA$60,$AA$66,$AA$72:$AA$79))*Parameters!$B$37/12</f>
        <v>10036.23916689094</v>
      </c>
      <c r="F81" s="46">
        <f>(SUM($AA$18:$AA$29)-SUM($AA$36,$AA$42,$AA$48,$AA$54,$AA$60,$AA$66,$AA$72:$AA$79))*Parameters!$B$37/12</f>
        <v>10036.23916689094</v>
      </c>
      <c r="G81" s="46">
        <f>(SUM($AA$18:$AA$29)-SUM($AA$36,$AA$42,$AA$48,$AA$54,$AA$60,$AA$66,$AA$72:$AA$79))*Parameters!$B$37/12</f>
        <v>10036.23916689094</v>
      </c>
      <c r="H81" s="46">
        <f>(SUM($AA$18:$AA$29)-SUM($AA$36,$AA$42,$AA$48,$AA$54,$AA$60,$AA$66,$AA$72:$AA$79))*Parameters!$B$37/12</f>
        <v>10036.23916689094</v>
      </c>
      <c r="I81" s="46">
        <f>(SUM($AA$18:$AA$29)-SUM($AA$36,$AA$42,$AA$48,$AA$54,$AA$60,$AA$66,$AA$72:$AA$79))*Parameters!$B$37/12</f>
        <v>10036.23916689094</v>
      </c>
      <c r="J81" s="46">
        <f>(SUM($AA$18:$AA$29)-SUM($AA$36,$AA$42,$AA$48,$AA$54,$AA$60,$AA$66,$AA$72:$AA$79))*Parameters!$B$37/12</f>
        <v>10036.23916689094</v>
      </c>
      <c r="K81" s="46">
        <f>(SUM($AA$18:$AA$29)-SUM($AA$36,$AA$42,$AA$48,$AA$54,$AA$60,$AA$66,$AA$72:$AA$79))*Parameters!$B$37/12</f>
        <v>10036.23916689094</v>
      </c>
      <c r="L81" s="46">
        <f>(SUM($AA$18:$AA$29)-SUM($AA$36,$AA$42,$AA$48,$AA$54,$AA$60,$AA$66,$AA$72:$AA$79))*Parameters!$B$37/12</f>
        <v>10036.23916689094</v>
      </c>
      <c r="M81" s="46">
        <f>(SUM($AA$18:$AA$29)-SUM($AA$36,$AA$42,$AA$48,$AA$54,$AA$60,$AA$66,$AA$72:$AA$79))*Parameters!$B$37/12</f>
        <v>10036.23916689094</v>
      </c>
      <c r="N81" s="46">
        <f>(SUM($AA$18:$AA$29)-SUM($AA$36,$AA$42,$AA$48,$AA$54,$AA$60,$AA$66,$AA$72:$AA$79))*Parameters!$B$37/12</f>
        <v>10036.23916689094</v>
      </c>
      <c r="O81" s="46">
        <f>(SUM($AA$18:$AA$29)-SUM($AA$36,$AA$42,$AA$48,$AA$54,$AA$60,$AA$66,$AA$72:$AA$79))*Parameters!$B$37/12</f>
        <v>10036.23916689094</v>
      </c>
      <c r="P81" s="46">
        <f>(SUM($AA$18:$AA$29)-SUM($AA$36,$AA$42,$AA$48,$AA$54,$AA$60,$AA$66,$AA$72:$AA$79))*Parameters!$B$37/12</f>
        <v>10036.23916689094</v>
      </c>
      <c r="Q81" s="46">
        <f>(SUM($AA$18:$AA$29)-SUM($AA$36,$AA$42,$AA$48,$AA$54,$AA$60,$AA$66,$AA$72:$AA$79))*Parameters!$B$37/12</f>
        <v>10036.23916689094</v>
      </c>
      <c r="R81" s="46">
        <f>(SUM($AA$18:$AA$29)-SUM($AA$36,$AA$42,$AA$48,$AA$54,$AA$60,$AA$66,$AA$72:$AA$79))*Parameters!$B$37/12</f>
        <v>10036.23916689094</v>
      </c>
      <c r="S81" s="46">
        <f>(SUM($AA$18:$AA$29)-SUM($AA$36,$AA$42,$AA$48,$AA$54,$AA$60,$AA$66,$AA$72:$AA$79))*Parameters!$B$37/12</f>
        <v>10036.23916689094</v>
      </c>
      <c r="T81" s="46">
        <f>(SUM($AA$18:$AA$29)-SUM($AA$36,$AA$42,$AA$48,$AA$54,$AA$60,$AA$66,$AA$72:$AA$79))*Parameters!$B$37/12</f>
        <v>10036.23916689094</v>
      </c>
      <c r="U81" s="46">
        <f>(SUM($AA$18:$AA$29)-SUM($AA$36,$AA$42,$AA$48,$AA$54,$AA$60,$AA$66,$AA$72:$AA$79))*Parameters!$B$37/12</f>
        <v>10036.23916689094</v>
      </c>
      <c r="V81" s="46">
        <f>(SUM($AA$18:$AA$29)-SUM($AA$36,$AA$42,$AA$48,$AA$54,$AA$60,$AA$66,$AA$72:$AA$79))*Parameters!$B$37/12</f>
        <v>10036.23916689094</v>
      </c>
      <c r="W81" s="46">
        <f>(SUM($AA$18:$AA$29)-SUM($AA$36,$AA$42,$AA$48,$AA$54,$AA$60,$AA$66,$AA$72:$AA$79))*Parameters!$B$37/12</f>
        <v>10036.23916689094</v>
      </c>
      <c r="X81" s="46">
        <f>(SUM($AA$18:$AA$29)-SUM($AA$36,$AA$42,$AA$48,$AA$54,$AA$60,$AA$66,$AA$72:$AA$79))*Parameters!$B$37/12</f>
        <v>10036.23916689094</v>
      </c>
      <c r="Y81" s="46">
        <f>(SUM($AA$18:$AA$29)-SUM($AA$36,$AA$42,$AA$48,$AA$54,$AA$60,$AA$66,$AA$72:$AA$79))*Parameters!$B$37/12</f>
        <v>10036.23916689094</v>
      </c>
      <c r="Z81" s="46">
        <f>SUMIF($B$13:$Y$13,"Yes",B81:Y81)</f>
        <v>190688.5441709279</v>
      </c>
      <c r="AA81" s="46">
        <f>SUM(B81:M81)</f>
        <v>120434.8700026913</v>
      </c>
      <c r="AB81" s="46">
        <f>SUM(B81:Y81)</f>
        <v>240869.7400053826</v>
      </c>
    </row>
    <row r="82" spans="1:30">
      <c r="A82" s="16" t="s">
        <v>52</v>
      </c>
      <c r="B82" s="46">
        <f>SUM(B83:B87)</f>
        <v>11712.85140562249</v>
      </c>
      <c r="C82" s="46">
        <f>SUM(C83:C87)</f>
        <v>9953.815261044178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21666.66666666667</v>
      </c>
      <c r="AA82" s="46">
        <f>SUM(B82:M82)</f>
        <v>21666.66666666667</v>
      </c>
      <c r="AB82" s="46">
        <f>SUM(B82:Y82)</f>
        <v>21666.66666666667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11712.85140562249</v>
      </c>
      <c r="C83" s="46">
        <f>IF(Calculations!$E23&gt;COUNT(Output!$B$35:C$35),Calculations!$B23,IF(Calculations!$E23=COUNT(Output!$B$35:C$35),Inputs!$B56-Calculations!$C23*(Calculations!$E23-1)+Calculations!$D23,0))</f>
        <v>9953.815261044178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21666.66666666667</v>
      </c>
      <c r="AA83" s="46">
        <f>SUM(B83:M83)</f>
        <v>21666.66666666667</v>
      </c>
      <c r="AB83" s="46">
        <f>SUM(B83:Y83)</f>
        <v>21666.66666666667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24436.59057251343</v>
      </c>
      <c r="C88" s="19">
        <f>SUM(C72:C82,C66,C60,C54,C48,C42,C36)</f>
        <v>22865.05442793512</v>
      </c>
      <c r="D88" s="19">
        <f>SUM(D72:D82,D66,D60,D54,D48,D42,D36)</f>
        <v>12723.73916689094</v>
      </c>
      <c r="E88" s="19">
        <f>SUM(E72:E82,E66,E60,E54,E48,E42,E36)</f>
        <v>40041.73916689094</v>
      </c>
      <c r="F88" s="19">
        <f>SUM(F72:F82,F66,F60,F54,F48,F42,F36)</f>
        <v>12723.73916689094</v>
      </c>
      <c r="G88" s="19">
        <f>SUM(G72:G82,G66,G60,G54,G48,G42,G36)</f>
        <v>12723.73916689094</v>
      </c>
      <c r="H88" s="19">
        <f>SUM(H72:H82,H66,H60,H54,H48,H42,H36)</f>
        <v>12723.73916689094</v>
      </c>
      <c r="I88" s="19">
        <f>SUM(I72:I82,I66,I60,I54,I48,I42,I36)</f>
        <v>12911.23916689094</v>
      </c>
      <c r="J88" s="19">
        <f>SUM(J72:J82,J66,J60,J54,J48,J42,J36)</f>
        <v>22109.76152858372</v>
      </c>
      <c r="K88" s="19">
        <f>SUM(K72:K82,K66,K60,K54,K48,K42,K36)</f>
        <v>26223.73916689094</v>
      </c>
      <c r="L88" s="19">
        <f>SUM(L72:L82,L66,L60,L54,L48,L42,L36)</f>
        <v>12723.73916689094</v>
      </c>
      <c r="M88" s="19">
        <f>SUM(M72:M82,M66,M60,M54,M48,M42,M36)</f>
        <v>12723.73916689094</v>
      </c>
      <c r="N88" s="19">
        <f>SUM(N72:N82,N66,N60,N54,N48,N42,N36)</f>
        <v>12723.73916689094</v>
      </c>
      <c r="O88" s="19">
        <f>SUM(O72:O82,O66,O60,O54,O48,O42,O36)</f>
        <v>12911.23916689094</v>
      </c>
      <c r="P88" s="19">
        <f>SUM(P72:P82,P66,P60,P54,P48,P42,P36)</f>
        <v>12723.73916689094</v>
      </c>
      <c r="Q88" s="19">
        <f>SUM(Q72:Q82,Q66,Q60,Q54,Q48,Q42,Q36)</f>
        <v>40041.73916689094</v>
      </c>
      <c r="R88" s="19">
        <f>SUM(R72:R82,R66,R60,R54,R48,R42,R36)</f>
        <v>12723.73916689094</v>
      </c>
      <c r="S88" s="19">
        <f>SUM(S72:S82,S66,S60,S54,S48,S42,S36)</f>
        <v>12723.73916689094</v>
      </c>
      <c r="T88" s="19">
        <f>SUM(T72:T82,T66,T60,T54,T48,T42,T36)</f>
        <v>12723.73916689094</v>
      </c>
      <c r="U88" s="19">
        <f>SUM(U72:U82,U66,U60,U54,U48,U42,U36)</f>
        <v>12911.23916689094</v>
      </c>
      <c r="V88" s="19">
        <f>SUM(V72:V82,V66,V60,V54,V48,V42,V36)</f>
        <v>22109.76152858372</v>
      </c>
      <c r="W88" s="19">
        <f>SUM(W72:W82,W66,W60,W54,W48,W42,W36)</f>
        <v>26223.73916689094</v>
      </c>
      <c r="X88" s="19">
        <f>SUM(X72:X82,X66,X60,X54,X48,X42,X36)</f>
        <v>12723.73916689094</v>
      </c>
      <c r="Y88" s="19">
        <f>SUM(Y72:Y82,Y66,Y60,Y54,Y48,Y42,Y36)</f>
        <v>12723.73916689094</v>
      </c>
      <c r="Z88" s="19">
        <f>SUMIF($B$13:$Y$13,"Yes",B88:Y88)</f>
        <v>341502.2331992874</v>
      </c>
      <c r="AA88" s="19">
        <f>SUM(B88:M88)</f>
        <v>224930.5590310507</v>
      </c>
      <c r="AB88" s="19">
        <f>SUM(B88:Y88)</f>
        <v>428194.451395435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42000000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850000</v>
      </c>
    </row>
    <row r="101" spans="1:30" customHeight="1" ht="15.75">
      <c r="A101" s="1" t="s">
        <v>67</v>
      </c>
      <c r="B101" s="19">
        <f>SUM(B94:B100)</f>
        <v>44120000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29825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179825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1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1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98</v>
      </c>
      <c r="I9" s="147" t="s">
        <v>93</v>
      </c>
      <c r="J9" s="148" t="s">
        <v>99</v>
      </c>
      <c r="K9" s="138"/>
      <c r="L9" s="16"/>
      <c r="M9" s="165">
        <v>10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2</v>
      </c>
      <c r="D19" s="145">
        <v>2</v>
      </c>
      <c r="E19" s="20"/>
      <c r="F19" s="145" t="s">
        <v>98</v>
      </c>
      <c r="G19" s="20"/>
      <c r="H19" s="20"/>
      <c r="I19" s="145" t="s">
        <v>114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100</v>
      </c>
    </row>
    <row r="27" spans="1:48">
      <c r="A27" s="14" t="s">
        <v>117</v>
      </c>
    </row>
    <row r="29" spans="1:48">
      <c r="A29" s="45" t="s">
        <v>118</v>
      </c>
      <c r="B29" s="156">
        <v>0</v>
      </c>
    </row>
    <row r="30" spans="1:48">
      <c r="A30" s="44" t="s">
        <v>119</v>
      </c>
      <c r="B30" s="157">
        <v>0</v>
      </c>
    </row>
    <row r="31" spans="1:48">
      <c r="A31" s="5" t="s">
        <v>120</v>
      </c>
      <c r="B31" s="158">
        <v>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98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98</v>
      </c>
    </row>
    <row r="45" spans="1:48">
      <c r="A45" s="56" t="s">
        <v>133</v>
      </c>
      <c r="B45" s="161">
        <v>800000</v>
      </c>
    </row>
    <row r="46" spans="1:48" customHeight="1" ht="30">
      <c r="A46" s="57" t="s">
        <v>134</v>
      </c>
      <c r="B46" s="161">
        <v>0</v>
      </c>
    </row>
    <row r="47" spans="1:48" customHeight="1" ht="30">
      <c r="A47" s="57" t="s">
        <v>135</v>
      </c>
      <c r="B47" s="161">
        <v>0</v>
      </c>
    </row>
    <row r="48" spans="1:48" customHeight="1" ht="30">
      <c r="A48" s="57" t="s">
        <v>136</v>
      </c>
      <c r="B48" s="161">
        <v>850000</v>
      </c>
    </row>
    <row r="49" spans="1:48" customHeight="1" ht="30">
      <c r="A49" s="57" t="s">
        <v>137</v>
      </c>
      <c r="B49" s="161">
        <v>70000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100000</v>
      </c>
      <c r="B56" s="159">
        <v>18000</v>
      </c>
      <c r="C56" s="162" t="s">
        <v>146</v>
      </c>
      <c r="D56" s="163" t="s">
        <v>147</v>
      </c>
      <c r="E56" s="163" t="s">
        <v>98</v>
      </c>
      <c r="F56" s="163" t="s">
        <v>148</v>
      </c>
    </row>
    <row r="57" spans="1:48">
      <c r="A57" s="157">
        <v>11000</v>
      </c>
      <c r="B57" s="157">
        <v>0</v>
      </c>
      <c r="C57" s="164" t="s">
        <v>149</v>
      </c>
      <c r="D57" s="165" t="s">
        <v>150</v>
      </c>
      <c r="E57" s="165" t="s">
        <v>98</v>
      </c>
      <c r="F57" s="165" t="s">
        <v>148</v>
      </c>
    </row>
    <row r="58" spans="1:48">
      <c r="A58" s="157">
        <v>11000</v>
      </c>
      <c r="B58" s="157">
        <v>11825</v>
      </c>
      <c r="C58" s="164" t="s">
        <v>151</v>
      </c>
      <c r="D58" s="165" t="s">
        <v>150</v>
      </c>
      <c r="E58" s="165" t="s">
        <v>98</v>
      </c>
      <c r="F58" s="165" t="s">
        <v>148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153</v>
      </c>
      <c r="C65" s="10" t="s">
        <v>154</v>
      </c>
    </row>
    <row r="66" spans="1:48">
      <c r="A66" s="142" t="s">
        <v>155</v>
      </c>
      <c r="B66" s="159">
        <v>64595</v>
      </c>
      <c r="C66" s="163">
        <v>61993</v>
      </c>
      <c r="D66" s="49">
        <f>INDEX(Parameters!$D$79:$D$90,MATCH(Inputs!A66,Parameters!$C$79:$C$90,0))</f>
        <v>5</v>
      </c>
    </row>
    <row r="67" spans="1:48">
      <c r="A67" s="143" t="s">
        <v>156</v>
      </c>
      <c r="B67" s="157">
        <v>25350</v>
      </c>
      <c r="C67" s="165">
        <v>24851</v>
      </c>
      <c r="D67" s="49">
        <f>INDEX(Parameters!$D$79:$D$90,MATCH(Inputs!A67,Parameters!$C$79:$C$90,0))</f>
        <v>4</v>
      </c>
    </row>
    <row r="68" spans="1:48">
      <c r="A68" s="143" t="s">
        <v>157</v>
      </c>
      <c r="B68" s="157">
        <v>65050</v>
      </c>
      <c r="C68" s="165">
        <v>55641</v>
      </c>
      <c r="D68" s="49">
        <f>INDEX(Parameters!$D$79:$D$90,MATCH(Inputs!A68,Parameters!$C$79:$C$90,0))</f>
        <v>3</v>
      </c>
    </row>
    <row r="69" spans="1:48">
      <c r="A69" s="143" t="s">
        <v>158</v>
      </c>
      <c r="B69" s="157">
        <v>78800</v>
      </c>
      <c r="C69" s="165">
        <v>78218</v>
      </c>
      <c r="D69" s="49">
        <f>INDEX(Parameters!$D$79:$D$90,MATCH(Inputs!A69,Parameters!$C$79:$C$90,0))</f>
        <v>2</v>
      </c>
    </row>
    <row r="70" spans="1:48">
      <c r="A70" s="143" t="s">
        <v>159</v>
      </c>
      <c r="B70" s="157">
        <v>52966</v>
      </c>
      <c r="C70" s="165">
        <v>52987</v>
      </c>
      <c r="D70" s="49">
        <f>INDEX(Parameters!$D$79:$D$90,MATCH(Inputs!A70,Parameters!$C$79:$C$90,0))</f>
        <v>1</v>
      </c>
    </row>
    <row r="71" spans="1:48">
      <c r="A71" s="144" t="s">
        <v>160</v>
      </c>
      <c r="B71" s="158">
        <v>33377</v>
      </c>
      <c r="C71" s="167">
        <v>34776</v>
      </c>
      <c r="D71" s="49">
        <f>INDEX(Parameters!$D$79:$D$90,MATCH(Inputs!A71,Parameters!$C$79:$C$90,0))</f>
        <v>12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7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150000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18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680.1465479487517</v>
      </c>
      <c r="M4" s="25">
        <f>L4*H4</f>
        <v>2040.439643846255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4693.011180846386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43040</v>
      </c>
      <c r="D5" s="39">
        <f>IFERROR(DATE(YEAR(B5),MONTH(B5)+T5,DAY(B5)),"")</f>
        <v>43101</v>
      </c>
      <c r="E5" s="39">
        <f>IFERROR(IF($S5=0,"",IF($S5=2,DATE(YEAR(B5),MONTH(B5)+6,DAY(B5)),IF($S5=1,B5,""))),"")</f>
        <v>43160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43282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150</v>
      </c>
      <c r="M5" s="30">
        <f>L5*H5</f>
        <v>450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19845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187.5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Cabbages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9022.633424063135</v>
      </c>
      <c r="M6" s="30">
        <f>L6*H6</f>
        <v>9022.633424063135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227370.362286391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606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2800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100000</v>
      </c>
      <c r="B23" s="75">
        <f>SUM(C23:D23)</f>
        <v>11712.85140562249</v>
      </c>
      <c r="C23" s="75">
        <f>IF(Inputs!B56&gt;0,(Inputs!A56-Inputs!B56)/(DATE(YEAR(Inputs!$B$76),MONTH(Inputs!$B$76),DAY(Inputs!$B$76))-DATE(YEAR(Inputs!C56),MONTH(Inputs!C56),DAY(Inputs!C56)))*30,0)</f>
        <v>9879.518072289156</v>
      </c>
      <c r="D23" s="75">
        <f>IF(Inputs!B56&gt;0,Inputs!A56*0.22/12,0)</f>
        <v>1833.333333333333</v>
      </c>
      <c r="E23" s="75">
        <f>IFERROR(ROUNDUP(Inputs!B56/C23,0),0)</f>
        <v>2</v>
      </c>
    </row>
    <row r="24" spans="1:52">
      <c r="A24" s="46">
        <f>Inputs!A57</f>
        <v>11000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11000</v>
      </c>
      <c r="B25" s="46">
        <f>SUM(C25:D25)</f>
        <v>-417.0833333333334</v>
      </c>
      <c r="C25" s="46">
        <f>IF(Inputs!B58&gt;0,(Inputs!A58-Inputs!B58)/(DATE(YEAR(Inputs!$B$76),MONTH(Inputs!$B$76),DAY(Inputs!$B$76))-DATE(YEAR(Inputs!C58),MONTH(Inputs!C58),DAY(Inputs!C58)))*30,0)</f>
        <v>-618.75</v>
      </c>
      <c r="D25" s="46">
        <f>IF(Inputs!B58&gt;0,Inputs!A58*0.22/12,0)</f>
        <v>201.6666666666667</v>
      </c>
      <c r="E25" s="46">
        <f>IFERROR(ROUNDUP(Inputs!B58/B25,0),0)</f>
        <v>-29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42922</v>
      </c>
      <c r="C33" s="27">
        <f>IF(B33&lt;&gt;"",IF(COUNT($A$33:A33)&lt;=$G$39,0,$G$41)+IF(COUNT($A$33:A33)&lt;=$G$40,0,$G$42),0)</f>
        <v>10833.33333333333</v>
      </c>
      <c r="D33" s="170">
        <f>IFERROR(DATE(YEAR(B33),MONTH(B33),1)," ")</f>
        <v>42917</v>
      </c>
      <c r="F33" t="s">
        <v>166</v>
      </c>
      <c r="G33" s="128">
        <f>IF(Inputs!B79="","",DATE(YEAR(Inputs!B79),MONTH(Inputs!B79),DAY(Inputs!B79)))</f>
        <v>42892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42953</v>
      </c>
      <c r="C34" s="27">
        <f>IF(B34&lt;&gt;"",IF(COUNT($A$33:A34)&lt;=$G$39,0,$G$41)+IF(COUNT($A$33:A34)&lt;=$G$40,0,$G$42),0)</f>
        <v>10833.33333333333</v>
      </c>
      <c r="D34" s="170">
        <f>IFERROR(DATE(YEAR(B34),MONTH(B34),1)," ")</f>
        <v>42948</v>
      </c>
      <c r="F34" t="s">
        <v>167</v>
      </c>
      <c r="G34" s="128">
        <f>IF(Inputs!B80="","",DATE(YEAR(Inputs!B80),MONTH(Inputs!B80),DAY(Inputs!B80)))</f>
        <v>42922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42984</v>
      </c>
      <c r="C35" s="27">
        <f>IF(B35&lt;&gt;"",IF(COUNT($A$33:A35)&lt;=$G$39,0,$G$41)+IF(COUNT($A$33:A35)&lt;=$G$40,0,$G$42),0)</f>
        <v>10833.33333333333</v>
      </c>
      <c r="D35" s="170">
        <f>IFERROR(DATE(YEAR(B35),MONTH(B35),1)," ")</f>
        <v>42979</v>
      </c>
      <c r="F35" t="s">
        <v>169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43014</v>
      </c>
      <c r="C36" s="27">
        <f>IF(B36&lt;&gt;"",IF(COUNT($A$33:A36)&lt;=$G$39,0,$G$41)+IF(COUNT($A$33:A36)&lt;=$G$40,0,$G$42),0)</f>
        <v>10833.33333333333</v>
      </c>
      <c r="D36" s="170">
        <f>IFERROR(DATE(YEAR(B36),MONTH(B36),1)," ")</f>
        <v>43009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43045</v>
      </c>
      <c r="C37" s="27">
        <f>IF(B37&lt;&gt;"",IF(COUNT($A$33:A37)&lt;=$G$39,0,$G$41)+IF(COUNT($A$33:A37)&lt;=$G$40,0,$G$42),0)</f>
        <v>10833.33333333333</v>
      </c>
      <c r="D37" s="170">
        <f>IFERROR(DATE(YEAR(B37),MONTH(B37),1)," ")</f>
        <v>43040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43075</v>
      </c>
      <c r="C38" s="27">
        <f>IF(B38&lt;&gt;"",IF(COUNT($A$33:A38)&lt;=$G$39,0,$G$41)+IF(COUNT($A$33:A38)&lt;=$G$40,0,$G$42),0)</f>
        <v>10833.33333333333</v>
      </c>
      <c r="D38" s="170">
        <f>IFERROR(DATE(YEAR(B38),MONTH(B38),1)," ")</f>
        <v>43070</v>
      </c>
      <c r="F38" t="s">
        <v>232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43106</v>
      </c>
      <c r="C39" s="27">
        <f>IF(B39&lt;&gt;"",IF(COUNT($A$33:A39)&lt;=$G$39,0,$G$41)+IF(COUNT($A$33:A39)&lt;=$G$40,0,$G$42),0)</f>
        <v>10833.33333333333</v>
      </c>
      <c r="D39" s="170">
        <f>IFERROR(DATE(YEAR(B39),MONTH(B39),1)," ")</f>
        <v>43101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43137</v>
      </c>
      <c r="C40" s="27">
        <f>IF(B40&lt;&gt;"",IF(COUNT($A$33:A40)&lt;=$G$39,0,$G$41)+IF(COUNT($A$33:A40)&lt;=$G$40,0,$G$42),0)</f>
        <v>10833.33333333333</v>
      </c>
      <c r="D40" s="170">
        <f>IFERROR(DATE(YEAR(B40),MONTH(B40),1)," ")</f>
        <v>43132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43165</v>
      </c>
      <c r="C41" s="27">
        <f>IF(B41&lt;&gt;"",IF(COUNT($A$33:A41)&lt;=$G$39,0,$G$41)+IF(COUNT($A$33:A41)&lt;=$G$40,0,$G$42),0)</f>
        <v>10833.33333333333</v>
      </c>
      <c r="D41" s="170">
        <f>IFERROR(DATE(YEAR(B41),MONTH(B41),1)," ")</f>
        <v>43160</v>
      </c>
      <c r="F41" t="s">
        <v>233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43196</v>
      </c>
      <c r="C42" s="27">
        <f>IF(B42&lt;&gt;"",IF(COUNT($A$33:A42)&lt;=$G$39,0,$G$41)+IF(COUNT($A$33:A42)&lt;=$G$40,0,$G$42),0)</f>
        <v>10833.33333333333</v>
      </c>
      <c r="D42" s="170">
        <f>IFERROR(DATE(YEAR(B42),MONTH(B42),1)," ")</f>
        <v>43191</v>
      </c>
      <c r="F42" t="s">
        <v>234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43226</v>
      </c>
      <c r="C43" s="27">
        <f>IF(B43&lt;&gt;"",IF(COUNT($A$33:A43)&lt;=$G$39,0,$G$41)+IF(COUNT($A$33:A43)&lt;=$G$40,0,$G$42),0)</f>
        <v>10833.33333333333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43257</v>
      </c>
      <c r="C44" s="27">
        <f>IF(B44&lt;&gt;"",IF(COUNT($A$33:A44)&lt;=$G$39,0,$G$41)+IF(COUNT($A$33:A44)&lt;=$G$40,0,$G$42),0)</f>
        <v>10833.33333333333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43287</v>
      </c>
      <c r="C45" s="27">
        <f>IF(B45&lt;&gt;"",IF(COUNT($A$33:A45)&lt;=$G$39,0,$G$41)+IF(COUNT($A$33:A45)&lt;=$G$40,0,$G$42),0)</f>
        <v>10833.33333333333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43318</v>
      </c>
      <c r="C46" s="27">
        <f>IF(B46&lt;&gt;"",IF(COUNT($A$33:A46)&lt;=$G$39,0,$G$41)+IF(COUNT($A$33:A46)&lt;=$G$40,0,$G$42),0)</f>
        <v>10833.33333333333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43349</v>
      </c>
      <c r="C47" s="27">
        <f>IF(B47&lt;&gt;"",IF(COUNT($A$33:A47)&lt;=$G$39,0,$G$41)+IF(COUNT($A$33:A47)&lt;=$G$40,0,$G$42),0)</f>
        <v>10833.33333333333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43379</v>
      </c>
      <c r="C48" s="27">
        <f>IF(B48&lt;&gt;"",IF(COUNT($A$33:A48)&lt;=$G$39,0,$G$41)+IF(COUNT($A$33:A48)&lt;=$G$40,0,$G$42),0)</f>
        <v>10833.33333333333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43410</v>
      </c>
      <c r="C49" s="27">
        <f>IF(B49&lt;&gt;"",IF(COUNT($A$33:A49)&lt;=$G$39,0,$G$41)+IF(COUNT($A$33:A49)&lt;=$G$40,0,$G$42),0)</f>
        <v>10833.33333333333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43440</v>
      </c>
      <c r="C50" s="27">
        <f>IF(B50&lt;&gt;"",IF(COUNT($A$33:A50)&lt;=$G$39,0,$G$41)+IF(COUNT($A$33:A50)&lt;=$G$40,0,$G$42),0)</f>
        <v>10833.33333333333</v>
      </c>
      <c r="D50" s="170">
        <f>IFERROR(DATE(YEAR(B50),MONTH(B50),1)," ")</f>
        <v>43435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207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301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301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101</v>
      </c>
      <c r="B41" s="191" t="s">
        <v>92</v>
      </c>
      <c r="C41" s="191" t="s">
        <v>98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318</v>
      </c>
      <c r="H52" s="12" t="s">
        <v>319</v>
      </c>
      <c r="I52" s="12" t="s">
        <v>131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235</v>
      </c>
      <c r="E53" s="10" t="s">
        <v>194</v>
      </c>
      <c r="F53" s="10" t="s">
        <v>254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172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231</v>
      </c>
      <c r="J76" s="11" t="s">
        <v>352</v>
      </c>
      <c r="K76" s="11" t="s">
        <v>184</v>
      </c>
      <c r="AJ76" s="12"/>
    </row>
    <row r="77" spans="1:36">
      <c r="A77" t="s">
        <v>98</v>
      </c>
      <c r="B77" s="176">
        <v>0</v>
      </c>
      <c r="C77" s="12" t="s">
        <v>353</v>
      </c>
      <c r="E77" s="12" t="s">
        <v>92</v>
      </c>
      <c r="F77" s="12" t="s">
        <v>92</v>
      </c>
      <c r="G77" s="12" t="s">
        <v>354</v>
      </c>
      <c r="H77" s="12" t="s">
        <v>319</v>
      </c>
      <c r="I77" s="12" t="s">
        <v>355</v>
      </c>
      <c r="J77" s="136" t="s">
        <v>96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114</v>
      </c>
      <c r="H78" s="12" t="s">
        <v>131</v>
      </c>
      <c r="I78" s="12" t="s">
        <v>359</v>
      </c>
      <c r="J78" s="70" t="s">
        <v>360</v>
      </c>
      <c r="K78" s="12" t="s">
        <v>92</v>
      </c>
      <c r="AJ78" s="12"/>
    </row>
    <row r="79" spans="1:36">
      <c r="B79" s="176">
        <v>10</v>
      </c>
      <c r="C79" s="12" t="s">
        <v>159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172</v>
      </c>
      <c r="J79" s="70" t="s">
        <v>364</v>
      </c>
      <c r="K79" s="12" t="s">
        <v>92</v>
      </c>
      <c r="AJ79" s="12"/>
    </row>
    <row r="80" spans="1:36">
      <c r="B80" s="176">
        <v>20</v>
      </c>
      <c r="C80" s="12" t="s">
        <v>158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98</v>
      </c>
      <c r="AJ80" s="12"/>
    </row>
    <row r="81" spans="1:36">
      <c r="B81" s="176">
        <v>30</v>
      </c>
      <c r="C81" s="12" t="s">
        <v>157</v>
      </c>
      <c r="D81" s="12">
        <f>D80+1</f>
        <v>3</v>
      </c>
      <c r="J81" s="70" t="s">
        <v>365</v>
      </c>
      <c r="K81" s="12" t="s">
        <v>98</v>
      </c>
    </row>
    <row r="82" spans="1:36">
      <c r="B82" s="176">
        <v>40</v>
      </c>
      <c r="C82" s="12" t="s">
        <v>156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160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