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<sst xmlns="http://schemas.openxmlformats.org/spreadsheetml/2006/main" uniqueCount="373">
  <si>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</si>
  <si>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</si>
  <si>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</si>
  <si>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</si>
  <si>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</si>
  <si>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</si>
  <si>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</si>
  <si>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</si>
  <si>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</si>
  <si>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</si>
  <si>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</si>
  <si>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</si>
  <si>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</si>
  <si>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</si>
  <si>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</si>
  <si>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</si>
  <si>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</si>
  <si>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</si>
  <si>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</si>
  <si>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</si>
  <si>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</si>
  <si>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</si>
  <si>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</si>
  <si>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</si>
  <si>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</si>
  <si>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</si>
  <si>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</si>
  <si>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</si>
  <si>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</si>
  <si>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</si>
  <si>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</si>
  <si>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</si>
  <si>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</si>
  <si>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</si>
  <si>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</si>
  <si>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</si>
  <si>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</si>
  <si>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</si>
  <si>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</si>
  <si>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</si>
  <si>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</si>
  <si>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</si>
  <si>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</si>
  <si>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</si>
  <si>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</si>
  <si>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</si>
  <si>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</si>
  <si>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</si>
  <si>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</si>
  <si>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</si>
  <si>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</si>
  <si>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</si>
  <si>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</si>
  <si>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</si>
  <si>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</si>
  <si>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</si>
  <si>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</si>
  <si>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</si>
  <si>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</si>
  <si>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</si>
  <si>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</si>
  <si>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</si>
  <si>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</si>
  <si>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</si>
  <si>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</si>
  <si>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</si>
  <si>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</si>
  <si>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</si>
  <si>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</si>
  <si>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</si>
  <si>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</si>
  <si>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</si>
  <si>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</si>
  <si>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</si>
  <si>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</si>
  <si>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</si>
  <si>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</si>
  <si>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</si>
  <si>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</si>
  <si>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</si>
  <si>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</si>
  <si>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</si>
  <si>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</si>
  <si>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</si>
  <si>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</si>
  <si>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</si>
  <si>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</si>
  <si>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</si>
  <si>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</si>
  <si>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</si>
  <si>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Shop_certified variety</t>
  </si>
  <si>
    <t>Yes Inorganic fertizers</t>
  </si>
  <si>
    <t>Yes</t>
  </si>
  <si>
    <t>No</t>
  </si>
  <si>
    <t>June</t>
  </si>
  <si>
    <t>Maize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</si>
  <si>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</si>
  <si>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</si>
  <si>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</si>
  <si>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</si>
  <si>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</si>
  <si>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</si>
  <si>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</si>
  <si>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</si>
  <si>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</si>
  <si>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</si>
  <si>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</si>
  <si>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</si>
  <si>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</si>
  <si>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</si>
  <si>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</si>
  <si>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</si>
  <si>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</si>
  <si>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</si>
  <si>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</si>
  <si>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</si>
  <si>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cattle trading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</si>
  <si>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</si>
  <si>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</si>
  <si>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</si>
  <si>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</si>
  <si>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</si>
  <si>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</si>
  <si>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</si>
  <si>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</si>
  <si>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</si>
  <si>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</si>
  <si>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</si>
  <si>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</si>
  <si>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</si>
  <si>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</si>
  <si>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</si>
  <si>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</si>
  <si>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</si>
  <si>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</si>
  <si>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</si>
  <si>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</si>
  <si>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</si>
  <si>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</si>
  <si>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</si>
  <si>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</si>
  <si>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</si>
  <si>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</si>
  <si>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</si>
  <si>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6/30/2014</t>
  </si>
  <si>
    <t>Equity bank</t>
  </si>
  <si>
    <t xml:space="preserve">Good loan repayment history </t>
  </si>
  <si>
    <t>10/30/2015</t>
  </si>
  <si>
    <t xml:space="preserve">Equity bank </t>
  </si>
  <si>
    <t>9/2/2016</t>
  </si>
  <si>
    <t xml:space="preserve">Musoni 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</si>
  <si>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</si>
  <si>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</si>
  <si>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</si>
  <si>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</si>
  <si>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</si>
  <si>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</si>
  <si>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</si>
  <si>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</si>
  <si>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December</t>
  </si>
  <si>
    <t>Loan info</t>
  </si>
  <si>
    <t>Branch ID</t>
  </si>
  <si>
    <t>Submission date</t>
  </si>
  <si>
    <t>2017/6/8</t>
  </si>
  <si>
    <t>Loan terms</t>
  </si>
  <si>
    <t>Expected disbursement date</t>
  </si>
  <si>
    <t>Expected first repayment date</t>
  </si>
  <si>
    <t>2017/7/8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</si>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</sst>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November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cattle trading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0.3272010600165082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0.02134715025906736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602049.0461111728</v>
      </c>
    </row>
    <row r="18" spans="1:7">
      <c r="B18" s="1" t="s">
        <v>12</v>
      </c>
      <c r="C18" s="36">
        <f>MIN(Output!B6:M6)</f>
        <v>-120007.0898633191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418329.3495828807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230000</v>
      </c>
    </row>
    <row r="25" spans="1:7">
      <c r="B25" s="1" t="s">
        <v>18</v>
      </c>
      <c r="C25" s="36">
        <f>MAX(Inputs!A56:A60)</f>
        <v>490000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1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-68555.08986331912</v>
      </c>
      <c r="C6" s="51">
        <f>C30-C88</f>
        <v>-25207.08986331912</v>
      </c>
      <c r="D6" s="51">
        <f>D30-D88</f>
        <v>-25207.08986331912</v>
      </c>
      <c r="E6" s="51">
        <f>E30-E88</f>
        <v>-120007.0898633191</v>
      </c>
      <c r="F6" s="51">
        <f>F30-F88</f>
        <v>-25207.08986331912</v>
      </c>
      <c r="G6" s="51">
        <f>G30-G88</f>
        <v>411472.2067257378</v>
      </c>
      <c r="H6" s="51">
        <f>H30-H88</f>
        <v>17960.00534645663</v>
      </c>
      <c r="I6" s="51">
        <f>I30-I88</f>
        <v>163520.774791222</v>
      </c>
      <c r="J6" s="51">
        <f>J30-J88</f>
        <v>-18349.94700617627</v>
      </c>
      <c r="K6" s="51">
        <f>K30-K88</f>
        <v>-108349.9470061763</v>
      </c>
      <c r="L6" s="51">
        <f>L30-L88</f>
        <v>-18349.94700617627</v>
      </c>
      <c r="M6" s="51">
        <f>M30-M88</f>
        <v>418329.3495828807</v>
      </c>
      <c r="N6" s="51">
        <f>N30-N88</f>
        <v>-68555.08986331912</v>
      </c>
      <c r="O6" s="51">
        <f>O30-O88</f>
        <v>-25207.08986331912</v>
      </c>
      <c r="P6" s="51">
        <f>P30-P88</f>
        <v>-25207.08986331912</v>
      </c>
      <c r="Q6" s="51">
        <f>Q30-Q88</f>
        <v>-120007.0898633191</v>
      </c>
      <c r="R6" s="51">
        <f>R30-R88</f>
        <v>-25207.08986331912</v>
      </c>
      <c r="S6" s="51">
        <f>S30-S88</f>
        <v>411472.2067257378</v>
      </c>
      <c r="T6" s="51">
        <f>T30-T88</f>
        <v>17960.00534645663</v>
      </c>
      <c r="U6" s="51">
        <f>U30-U88</f>
        <v>163520.774791222</v>
      </c>
      <c r="V6" s="51">
        <f>V30-V88</f>
        <v>-18349.94700617627</v>
      </c>
      <c r="W6" s="51">
        <f>W30-W88</f>
        <v>-108349.9470061763</v>
      </c>
      <c r="X6" s="51">
        <f>X30-X88</f>
        <v>-18349.94700617627</v>
      </c>
      <c r="Y6" s="51">
        <f>Y30-Y88</f>
        <v>418329.3495828807</v>
      </c>
      <c r="Z6" s="51">
        <f>SUMIF($B$13:$Y$13,"Yes",B6:Y6)</f>
        <v>533493.9562478536</v>
      </c>
      <c r="AA6" s="51">
        <f>AA30-AA88</f>
        <v>602049.0461111728</v>
      </c>
      <c r="AB6" s="51">
        <f>AB30-AB88</f>
        <v>1204098.092222347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8643</v>
      </c>
      <c r="I7" s="80">
        <f>IF(ISERROR(VLOOKUP(MONTH(I5),Inputs!$D$66:$D$71,1,0)),"",INDEX(Inputs!$B$66:$B$71,MATCH(MONTH(Output!I5),Inputs!$D$66:$D$71,0))-INDEX(Inputs!$C$66:$C$71,MATCH(MONTH(Output!I5),Inputs!$D$66:$D$71,0)))</f>
        <v>36428</v>
      </c>
      <c r="J7" s="80">
        <f>IF(ISERROR(VLOOKUP(MONTH(J5),Inputs!$D$66:$D$71,1,0)),"",INDEX(Inputs!$B$66:$B$71,MATCH(MONTH(Output!J5),Inputs!$D$66:$D$71,0))-INDEX(Inputs!$C$66:$C$71,MATCH(MONTH(Output!J5),Inputs!$D$66:$D$71,0)))</f>
        <v>25272</v>
      </c>
      <c r="K7" s="80">
        <f>IF(ISERROR(VLOOKUP(MONTH(K5),Inputs!$D$66:$D$71,1,0)),"",INDEX(Inputs!$B$66:$B$71,MATCH(MONTH(Output!K5),Inputs!$D$66:$D$71,0))-INDEX(Inputs!$C$66:$C$71,MATCH(MONTH(Output!K5),Inputs!$D$66:$D$71,0)))</f>
        <v>34821</v>
      </c>
      <c r="L7" s="80">
        <f>IF(ISERROR(VLOOKUP(MONTH(L5),Inputs!$D$66:$D$71,1,0)),"",INDEX(Inputs!$B$66:$B$71,MATCH(MONTH(Output!L5),Inputs!$D$66:$D$71,0))-INDEX(Inputs!$C$66:$C$71,MATCH(MONTH(Output!L5),Inputs!$D$66:$D$71,0)))</f>
        <v>35997</v>
      </c>
      <c r="M7" s="80">
        <f>IF(ISERROR(VLOOKUP(MONTH(M5),Inputs!$D$66:$D$71,1,0)),"",INDEX(Inputs!$B$66:$B$71,MATCH(MONTH(Output!M5),Inputs!$D$66:$D$71,0))-INDEX(Inputs!$C$66:$C$71,MATCH(MONTH(Output!M5),Inputs!$D$66:$D$71,0)))</f>
        <v>44536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8643</v>
      </c>
      <c r="U7" s="80">
        <f>IF(ISERROR(VLOOKUP(MONTH(U5),Inputs!$D$66:$D$71,1,0)),"",INDEX(Inputs!$B$66:$B$71,MATCH(MONTH(Output!U5),Inputs!$D$66:$D$71,0))-INDEX(Inputs!$C$66:$C$71,MATCH(MONTH(Output!U5),Inputs!$D$66:$D$71,0)))</f>
        <v>36428</v>
      </c>
      <c r="V7" s="80">
        <f>IF(ISERROR(VLOOKUP(MONTH(V5),Inputs!$D$66:$D$71,1,0)),"",INDEX(Inputs!$B$66:$B$71,MATCH(MONTH(Output!V5),Inputs!$D$66:$D$71,0))-INDEX(Inputs!$C$66:$C$71,MATCH(MONTH(Output!V5),Inputs!$D$66:$D$71,0)))</f>
        <v>25272</v>
      </c>
      <c r="W7" s="80">
        <f>IF(ISERROR(VLOOKUP(MONTH(W5),Inputs!$D$66:$D$71,1,0)),"",INDEX(Inputs!$B$66:$B$71,MATCH(MONTH(Output!W5),Inputs!$D$66:$D$71,0))-INDEX(Inputs!$C$66:$C$71,MATCH(MONTH(Output!W5),Inputs!$D$66:$D$71,0)))</f>
        <v>34821</v>
      </c>
      <c r="X7" s="80">
        <f>IF(ISERROR(VLOOKUP(MONTH(X5),Inputs!$D$66:$D$71,1,0)),"",INDEX(Inputs!$B$66:$B$71,MATCH(MONTH(Output!X5),Inputs!$D$66:$D$71,0))-INDEX(Inputs!$C$66:$C$71,MATCH(MONTH(Output!X5),Inputs!$D$66:$D$71,0)))</f>
        <v>35997</v>
      </c>
      <c r="Y7" s="80">
        <f>IF(ISERROR(VLOOKUP(MONTH(Y5),Inputs!$D$66:$D$71,1,0)),"",INDEX(Inputs!$B$66:$B$71,MATCH(MONTH(Output!Y5),Inputs!$D$66:$D$71,0))-INDEX(Inputs!$C$66:$C$71,MATCH(MONTH(Output!Y5),Inputs!$D$66:$D$71,0)))</f>
        <v>44536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131444.9101366809</v>
      </c>
      <c r="C11" s="80">
        <f>C6+C9-C10</f>
        <v>-45207.08986331912</v>
      </c>
      <c r="D11" s="80">
        <f>D6+D9-D10</f>
        <v>-45207.08986331912</v>
      </c>
      <c r="E11" s="80">
        <f>E6+E9-E10</f>
        <v>-140007.0898633191</v>
      </c>
      <c r="F11" s="80">
        <f>F6+F9-F10</f>
        <v>-45207.08986331912</v>
      </c>
      <c r="G11" s="80">
        <f>G6+G9-G10</f>
        <v>391472.2067257378</v>
      </c>
      <c r="H11" s="80">
        <f>H6+H9-H10</f>
        <v>-2039.99465354337</v>
      </c>
      <c r="I11" s="80">
        <f>I6+I9-I10</f>
        <v>143520.774791222</v>
      </c>
      <c r="J11" s="80">
        <f>J6+J9-J10</f>
        <v>-38349.94700617627</v>
      </c>
      <c r="K11" s="80">
        <f>K6+K9-K10</f>
        <v>-128349.9470061763</v>
      </c>
      <c r="L11" s="80">
        <f>L6+L9-L10</f>
        <v>-38349.94700617627</v>
      </c>
      <c r="M11" s="80">
        <f>M6+M9-M10</f>
        <v>398329.3495828807</v>
      </c>
      <c r="N11" s="80">
        <f>N6+N9-N10</f>
        <v>-88555.08986331912</v>
      </c>
      <c r="O11" s="80">
        <f>O6+O9-O10</f>
        <v>-25207.08986331912</v>
      </c>
      <c r="P11" s="80">
        <f>P6+P9-P10</f>
        <v>-25207.08986331912</v>
      </c>
      <c r="Q11" s="80">
        <f>Q6+Q9-Q10</f>
        <v>-120007.0898633191</v>
      </c>
      <c r="R11" s="80">
        <f>R6+R9-R10</f>
        <v>-25207.08986331912</v>
      </c>
      <c r="S11" s="80">
        <f>S6+S9-S10</f>
        <v>411472.2067257378</v>
      </c>
      <c r="T11" s="80">
        <f>T6+T9-T10</f>
        <v>17960.00534645663</v>
      </c>
      <c r="U11" s="80">
        <f>U6+U9-U10</f>
        <v>163520.774791222</v>
      </c>
      <c r="V11" s="80">
        <f>V6+V9-V10</f>
        <v>-18349.94700617627</v>
      </c>
      <c r="W11" s="80">
        <f>W6+W9-W10</f>
        <v>-108349.9470061763</v>
      </c>
      <c r="X11" s="80">
        <f>X6+X9-X10</f>
        <v>-18349.94700617627</v>
      </c>
      <c r="Y11" s="80">
        <f>Y6+Y9-Y10</f>
        <v>418329.3495828807</v>
      </c>
      <c r="Z11" s="85">
        <f>SUMIF($B$13:$Y$13,"Yes",B11:Y11)</f>
        <v>493493.9562478536</v>
      </c>
      <c r="AA11" s="80">
        <f>SUM(B11:M11)</f>
        <v>582049.0461111728</v>
      </c>
      <c r="AB11" s="46">
        <f>SUM(B11:Y11)</f>
        <v>1164098.092222346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0.1882568745154764</v>
      </c>
      <c r="D12" s="82">
        <f>IF(D13="Yes",IF(SUM($B$10:D10)/(SUM($B$6:D6)+SUM($B$9:D9))&lt;0,999.99,SUM($B$10:D10)/(SUM($B$6:D6)+SUM($B$9:D9))),"")</f>
        <v>0.4936398795566399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0.2879448236275314</v>
      </c>
      <c r="H12" s="82">
        <f>IF(H13="Yes",IF(SUM($B$10:H10)/(SUM($B$6:H6)+SUM($B$9:H9))&lt;0,999.99,SUM($B$10:H10)/(SUM($B$6:H6)+SUM($B$9:H9))),"")</f>
        <v>0.3285432073600105</v>
      </c>
      <c r="I12" s="82">
        <f>IF(I13="Yes",IF(SUM($B$10:I10)/(SUM($B$6:I6)+SUM($B$9:I9))&lt;0,999.99,SUM($B$10:I10)/(SUM($B$6:I6)+SUM($B$9:I9))),"")</f>
        <v>0.2647656305042032</v>
      </c>
      <c r="J12" s="82">
        <f>IF(J13="Yes",IF(SUM($B$10:J10)/(SUM($B$6:J6)+SUM($B$9:J9))&lt;0,999.99,SUM($B$10:J10)/(SUM($B$6:J6)+SUM($B$9:J9))),"")</f>
        <v>0.3134675920854163</v>
      </c>
      <c r="K12" s="82">
        <f>IF(K13="Yes",IF(SUM($B$10:K10)/(SUM($B$6:K6)+SUM($B$9:K9))&lt;0,999.99,SUM($B$10:K10)/(SUM($B$6:K6)+SUM($B$9:K9))),"")</f>
        <v>0.4476836361424264</v>
      </c>
      <c r="L12" s="82">
        <f>IF(L13="Yes",IF(SUM($B$10:L10)/(SUM($B$6:L6)+SUM($B$9:L9))&lt;0,999.99,SUM($B$10:L10)/(SUM($B$6:L6)+SUM($B$9:L9))),"")</f>
        <v>0.5212137969708152</v>
      </c>
      <c r="M12" s="82">
        <f>IF(M13="Yes",IF(SUM($B$10:M10)/(SUM($B$6:M6)+SUM($B$9:M9))&lt;0,999.99,SUM($B$10:M10)/(SUM($B$6:M6)+SUM($B$9:M9))),"")</f>
        <v>0.2742974398719073</v>
      </c>
      <c r="N12" s="82">
        <f>IF(N13="Yes",IF(SUM($B$10:N10)/(SUM($B$6:N6)+SUM($B$9:N9))&lt;0,999.99,SUM($B$10:N10)/(SUM($B$6:N6)+SUM($B$9:N9))),"")</f>
        <v>0.3272010600165082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436679.2965890569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436679.2965890569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436679.2965890569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436679.2965890569</v>
      </c>
      <c r="Z18" s="36">
        <f>SUMIF($B$13:$Y$13,"Yes",B18:Y18)</f>
        <v>873358.5931781138</v>
      </c>
      <c r="AA18" s="36">
        <f>SUM(B18:M18)</f>
        <v>873358.5931781138</v>
      </c>
      <c r="AB18" s="36">
        <f>SUM(B18:Y18)</f>
        <v>1746717.186356228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151558.9348311653</v>
      </c>
      <c r="I19" s="36">
        <f>U19</f>
        <v>181870.7217973983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151558.9348311653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181870.7217973983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333429.6566285636</v>
      </c>
      <c r="AA19" s="36">
        <f>SUM(B19:M19)</f>
        <v>333429.6566285636</v>
      </c>
      <c r="AB19" s="36">
        <f>SUM(B19:Y19)</f>
        <v>666859.3132571272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65000.00000000002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15972.22222222222</v>
      </c>
      <c r="C24" s="36">
        <f>IFERROR(Calculations!$P14/12,"")</f>
        <v>15972.22222222222</v>
      </c>
      <c r="D24" s="36">
        <f>IFERROR(Calculations!$P14/12,"")</f>
        <v>15972.22222222222</v>
      </c>
      <c r="E24" s="36">
        <f>IFERROR(Calculations!$P14/12,"")</f>
        <v>15972.22222222222</v>
      </c>
      <c r="F24" s="36">
        <f>IFERROR(Calculations!$P14/12,"")</f>
        <v>15972.22222222222</v>
      </c>
      <c r="G24" s="36">
        <f>IFERROR(Calculations!$P14/12,"")</f>
        <v>15972.22222222222</v>
      </c>
      <c r="H24" s="36">
        <f>IFERROR(Calculations!$P14/12,"")</f>
        <v>15972.22222222222</v>
      </c>
      <c r="I24" s="36">
        <f>IFERROR(Calculations!$P14/12,"")</f>
        <v>15972.22222222222</v>
      </c>
      <c r="J24" s="36">
        <f>IFERROR(Calculations!$P14/12,"")</f>
        <v>15972.22222222222</v>
      </c>
      <c r="K24" s="36">
        <f>IFERROR(Calculations!$P14/12,"")</f>
        <v>15972.22222222222</v>
      </c>
      <c r="L24" s="36">
        <f>IFERROR(Calculations!$P14/12,"")</f>
        <v>15972.22222222222</v>
      </c>
      <c r="M24" s="36">
        <f>IFERROR(Calculations!$P14/12,"")</f>
        <v>15972.22222222222</v>
      </c>
      <c r="N24" s="36">
        <f>IFERROR(Calculations!$P14/12,"")</f>
        <v>15972.22222222222</v>
      </c>
      <c r="O24" s="36">
        <f>IFERROR(Calculations!$P14/12,"")</f>
        <v>15972.22222222222</v>
      </c>
      <c r="P24" s="36">
        <f>IFERROR(Calculations!$P14/12,"")</f>
        <v>15972.22222222222</v>
      </c>
      <c r="Q24" s="36">
        <f>IFERROR(Calculations!$P14/12,"")</f>
        <v>15972.22222222222</v>
      </c>
      <c r="R24" s="36">
        <f>IFERROR(Calculations!$P14/12,"")</f>
        <v>15972.22222222222</v>
      </c>
      <c r="S24" s="36">
        <f>IFERROR(Calculations!$P14/12,"")</f>
        <v>15972.22222222222</v>
      </c>
      <c r="T24" s="36">
        <f>IFERROR(Calculations!$P14/12,"")</f>
        <v>15972.22222222222</v>
      </c>
      <c r="U24" s="36">
        <f>IFERROR(Calculations!$P14/12,"")</f>
        <v>15972.22222222222</v>
      </c>
      <c r="V24" s="36">
        <f>IFERROR(Calculations!$P14/12,"")</f>
        <v>15972.22222222222</v>
      </c>
      <c r="W24" s="36">
        <f>IFERROR(Calculations!$P14/12,"")</f>
        <v>15972.22222222222</v>
      </c>
      <c r="X24" s="36">
        <f>IFERROR(Calculations!$P14/12,"")</f>
        <v>15972.22222222222</v>
      </c>
      <c r="Y24" s="36">
        <f>IFERROR(Calculations!$P14/12,"")</f>
        <v>15972.22222222222</v>
      </c>
      <c r="Z24" s="36">
        <f>SUMIF($B$13:$Y$13,"Yes",B24:Y24)</f>
        <v>207638.8888888889</v>
      </c>
      <c r="AA24" s="36">
        <f>SUM(B24:M24)</f>
        <v>191666.6666666667</v>
      </c>
      <c r="AB24" s="46">
        <f>SUM(B24:Y24)</f>
        <v>383333.3333333335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4166.666666666667</v>
      </c>
      <c r="C25" s="36">
        <f>IFERROR(Calculations!$P15/12,"")</f>
        <v>4166.666666666667</v>
      </c>
      <c r="D25" s="36">
        <f>IFERROR(Calculations!$P15/12,"")</f>
        <v>4166.666666666667</v>
      </c>
      <c r="E25" s="36">
        <f>IFERROR(Calculations!$P15/12,"")</f>
        <v>4166.666666666667</v>
      </c>
      <c r="F25" s="36">
        <f>IFERROR(Calculations!$P15/12,"")</f>
        <v>4166.666666666667</v>
      </c>
      <c r="G25" s="36">
        <f>IFERROR(Calculations!$P15/12,"")</f>
        <v>4166.666666666667</v>
      </c>
      <c r="H25" s="36">
        <f>IFERROR(Calculations!$P15/12,"")</f>
        <v>4166.666666666667</v>
      </c>
      <c r="I25" s="36">
        <f>IFERROR(Calculations!$P15/12,"")</f>
        <v>4166.666666666667</v>
      </c>
      <c r="J25" s="36">
        <f>IFERROR(Calculations!$P15/12,"")</f>
        <v>4166.666666666667</v>
      </c>
      <c r="K25" s="36">
        <f>IFERROR(Calculations!$P15/12,"")</f>
        <v>4166.666666666667</v>
      </c>
      <c r="L25" s="36">
        <f>IFERROR(Calculations!$P15/12,"")</f>
        <v>4166.666666666667</v>
      </c>
      <c r="M25" s="36">
        <f>IFERROR(Calculations!$P15/12,"")</f>
        <v>4166.666666666667</v>
      </c>
      <c r="N25" s="36">
        <f>IFERROR(Calculations!$P15/12,"")</f>
        <v>4166.666666666667</v>
      </c>
      <c r="O25" s="36">
        <f>IFERROR(Calculations!$P15/12,"")</f>
        <v>4166.666666666667</v>
      </c>
      <c r="P25" s="36">
        <f>IFERROR(Calculations!$P15/12,"")</f>
        <v>4166.666666666667</v>
      </c>
      <c r="Q25" s="36">
        <f>IFERROR(Calculations!$P15/12,"")</f>
        <v>4166.666666666667</v>
      </c>
      <c r="R25" s="36">
        <f>IFERROR(Calculations!$P15/12,"")</f>
        <v>4166.666666666667</v>
      </c>
      <c r="S25" s="36">
        <f>IFERROR(Calculations!$P15/12,"")</f>
        <v>4166.666666666667</v>
      </c>
      <c r="T25" s="36">
        <f>IFERROR(Calculations!$P15/12,"")</f>
        <v>4166.666666666667</v>
      </c>
      <c r="U25" s="36">
        <f>IFERROR(Calculations!$P15/12,"")</f>
        <v>4166.666666666667</v>
      </c>
      <c r="V25" s="36">
        <f>IFERROR(Calculations!$P15/12,"")</f>
        <v>4166.666666666667</v>
      </c>
      <c r="W25" s="36">
        <f>IFERROR(Calculations!$P15/12,"")</f>
        <v>4166.666666666667</v>
      </c>
      <c r="X25" s="36">
        <f>IFERROR(Calculations!$P15/12,"")</f>
        <v>4166.666666666667</v>
      </c>
      <c r="Y25" s="36">
        <f>IFERROR(Calculations!$P15/12,"")</f>
        <v>4166.666666666667</v>
      </c>
      <c r="Z25" s="36">
        <f>SUMIF($B$13:$Y$13,"Yes",B25:Y25)</f>
        <v>54166.66666666666</v>
      </c>
      <c r="AA25" s="36">
        <f>SUM(B25:M25)</f>
        <v>49999.99999999999</v>
      </c>
      <c r="AB25" s="46">
        <f>SUM(B25:Y25)</f>
        <v>100000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195000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35138.88888888889</v>
      </c>
      <c r="C30" s="19">
        <f>SUM(C18:C29)</f>
        <v>35138.88888888889</v>
      </c>
      <c r="D30" s="19">
        <f>SUM(D18:D29)</f>
        <v>35138.88888888889</v>
      </c>
      <c r="E30" s="19">
        <f>SUM(E18:E29)</f>
        <v>35138.88888888889</v>
      </c>
      <c r="F30" s="19">
        <f>SUM(F18:F29)</f>
        <v>35138.88888888889</v>
      </c>
      <c r="G30" s="19">
        <f>SUM(G18:G29)</f>
        <v>471818.1854779458</v>
      </c>
      <c r="H30" s="19">
        <f>SUM(H18:H29)</f>
        <v>186697.8237200541</v>
      </c>
      <c r="I30" s="19">
        <f>SUM(I18:I29)</f>
        <v>217009.6106862872</v>
      </c>
      <c r="J30" s="19">
        <f>SUM(J18:J29)</f>
        <v>35138.88888888889</v>
      </c>
      <c r="K30" s="19">
        <f>SUM(K18:K29)</f>
        <v>35138.88888888889</v>
      </c>
      <c r="L30" s="19">
        <f>SUM(L18:L29)</f>
        <v>35138.88888888889</v>
      </c>
      <c r="M30" s="19">
        <f>SUM(M18:M29)</f>
        <v>471818.1854779458</v>
      </c>
      <c r="N30" s="19">
        <f>SUM(N18:N29)</f>
        <v>35138.88888888889</v>
      </c>
      <c r="O30" s="19">
        <f>SUM(O18:O29)</f>
        <v>35138.88888888889</v>
      </c>
      <c r="P30" s="19">
        <f>SUM(P18:P29)</f>
        <v>35138.88888888889</v>
      </c>
      <c r="Q30" s="19">
        <f>SUM(Q18:Q29)</f>
        <v>35138.88888888889</v>
      </c>
      <c r="R30" s="19">
        <f>SUM(R18:R29)</f>
        <v>35138.88888888889</v>
      </c>
      <c r="S30" s="19">
        <f>SUM(S18:S29)</f>
        <v>471818.1854779458</v>
      </c>
      <c r="T30" s="19">
        <f>SUM(T18:T29)</f>
        <v>186697.8237200541</v>
      </c>
      <c r="U30" s="19">
        <f>SUM(U18:U29)</f>
        <v>217009.6106862872</v>
      </c>
      <c r="V30" s="19">
        <f>SUM(V18:V29)</f>
        <v>35138.88888888889</v>
      </c>
      <c r="W30" s="19">
        <f>SUM(W18:W29)</f>
        <v>35138.88888888889</v>
      </c>
      <c r="X30" s="19">
        <f>SUM(X18:X29)</f>
        <v>35138.88888888889</v>
      </c>
      <c r="Y30" s="19">
        <f>SUM(Y18:Y29)</f>
        <v>471818.1854779458</v>
      </c>
      <c r="Z30" s="19">
        <f>SUMIF($B$13:$Y$13,"Yes",B30:Y30)</f>
        <v>1663593.805362233</v>
      </c>
      <c r="AA30" s="19">
        <f>SUM(B30:M30)</f>
        <v>1628454.916473344</v>
      </c>
      <c r="AB30" s="19">
        <f>SUM(B30:Y30)</f>
        <v>3256909.83294669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43348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38500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43348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38500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125196</v>
      </c>
      <c r="AA42" s="36">
        <f>SUM(B42:M42)</f>
        <v>81848</v>
      </c>
      <c r="AB42" s="36">
        <f>SUM(B42:Y42)</f>
        <v>163696</v>
      </c>
    </row>
    <row r="43" spans="1:30" hidden="true" outlineLevel="1">
      <c r="A43" s="181" t="str">
        <f>Calculations!$A$4</f>
        <v>Wheat</v>
      </c>
      <c r="B43" s="36">
        <f>N43</f>
        <v>38500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38500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38500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38500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115500</v>
      </c>
      <c r="AA43" s="36">
        <f>SUM(B43:M43)</f>
        <v>77000</v>
      </c>
      <c r="AB43" s="36">
        <f>SUM(B43:Y43)</f>
        <v>154000</v>
      </c>
    </row>
    <row r="44" spans="1:30" hidden="true" outlineLevel="1">
      <c r="A44" s="181" t="str">
        <f>Calculations!$A$5</f>
        <v>Maize</v>
      </c>
      <c r="B44" s="36">
        <f>N44</f>
        <v>4848.000000000001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4848.000000000001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9696.000000000002</v>
      </c>
      <c r="AA44" s="36">
        <f>SUM(B44:M44)</f>
        <v>4848.000000000001</v>
      </c>
      <c r="AB44" s="36">
        <f>SUM(B44:Y44)</f>
        <v>9696.000000000002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94800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90000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94800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90000</v>
      </c>
      <c r="X48" s="46">
        <f>SUM(X49:X53)</f>
        <v>0</v>
      </c>
      <c r="Y48" s="46">
        <f>SUM(Y49:Y53)</f>
        <v>0</v>
      </c>
      <c r="Z48" s="46">
        <f>SUMIF($B$13:$Y$13,"Yes",B48:Y48)</f>
        <v>184800</v>
      </c>
      <c r="AA48" s="46">
        <f>SUM(B48:M48)</f>
        <v>184800</v>
      </c>
      <c r="AB48" s="46">
        <f>SUM(B48:Y48)</f>
        <v>369600</v>
      </c>
    </row>
    <row r="49" spans="1:30" hidden="true" outlineLevel="1">
      <c r="A49" s="181" t="str">
        <f>Calculations!$A$4</f>
        <v>Wheat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90000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90000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90000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90000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180000</v>
      </c>
      <c r="AA49" s="46">
        <f>SUM(B49:M49)</f>
        <v>180000</v>
      </c>
      <c r="AB49" s="46">
        <f>SUM(B49:Y49)</f>
        <v>360000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4800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4800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4800</v>
      </c>
      <c r="AA50" s="46">
        <f>SUM(B50:M50)</f>
        <v>4800</v>
      </c>
      <c r="AB50" s="46">
        <f>SUM(B50:Y50)</f>
        <v>9600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69891.8396213895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69891.8396213895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69891.8396213895</v>
      </c>
      <c r="AA54" s="46">
        <f>SUM(B54:M54)</f>
        <v>69891.8396213895</v>
      </c>
      <c r="AB54" s="46">
        <f>SUM(B54:Y54)</f>
        <v>139783.679242779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69891.8396213895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69891.8396213895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69891.8396213895</v>
      </c>
      <c r="AA56" s="46">
        <f>SUM(B56:M56)</f>
        <v>69891.8396213895</v>
      </c>
      <c r="AB56" s="46">
        <f>SUM(B56:Y56)</f>
        <v>139783.679242779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13107.14285714286</v>
      </c>
      <c r="C66" s="36">
        <f>O66</f>
        <v>13107.14285714286</v>
      </c>
      <c r="D66" s="36">
        <f>P66</f>
        <v>13107.14285714286</v>
      </c>
      <c r="E66" s="36">
        <f>Q66</f>
        <v>13107.14285714286</v>
      </c>
      <c r="F66" s="36">
        <f>R66</f>
        <v>13107.14285714286</v>
      </c>
      <c r="G66" s="36">
        <f>S66</f>
        <v>13107.14285714286</v>
      </c>
      <c r="H66" s="36">
        <f>T66</f>
        <v>13107.14285714286</v>
      </c>
      <c r="I66" s="36">
        <f>U66</f>
        <v>6250</v>
      </c>
      <c r="J66" s="36">
        <f>V66</f>
        <v>6250</v>
      </c>
      <c r="K66" s="36">
        <f>W66</f>
        <v>6250</v>
      </c>
      <c r="L66" s="36">
        <f>X66</f>
        <v>6250</v>
      </c>
      <c r="M66" s="36">
        <f>Y66</f>
        <v>6250</v>
      </c>
      <c r="N66" s="46">
        <f>SUM(N67:N71)</f>
        <v>13107.14285714286</v>
      </c>
      <c r="O66" s="46">
        <f>SUM(O67:O71)</f>
        <v>13107.14285714286</v>
      </c>
      <c r="P66" s="46">
        <f>SUM(P67:P71)</f>
        <v>13107.14285714286</v>
      </c>
      <c r="Q66" s="46">
        <f>SUM(Q67:Q71)</f>
        <v>13107.14285714286</v>
      </c>
      <c r="R66" s="46">
        <f>SUM(R67:R71)</f>
        <v>13107.14285714286</v>
      </c>
      <c r="S66" s="46">
        <f>SUM(S67:S71)</f>
        <v>13107.14285714286</v>
      </c>
      <c r="T66" s="46">
        <f>SUM(T67:T71)</f>
        <v>13107.14285714286</v>
      </c>
      <c r="U66" s="46">
        <f>SUM(U67:U71)</f>
        <v>6250</v>
      </c>
      <c r="V66" s="46">
        <f>SUM(V67:V71)</f>
        <v>6250</v>
      </c>
      <c r="W66" s="46">
        <f>SUM(W67:W71)</f>
        <v>6250</v>
      </c>
      <c r="X66" s="46">
        <f>SUM(X67:X71)</f>
        <v>6250</v>
      </c>
      <c r="Y66" s="46">
        <f>SUM(Y67:Y71)</f>
        <v>6250</v>
      </c>
      <c r="Z66" s="46">
        <f>SUMIF($B$13:$Y$13,"Yes",B66:Y66)</f>
        <v>136107.1428571429</v>
      </c>
      <c r="AA66" s="46">
        <f>SUM(B66:M66)</f>
        <v>123000</v>
      </c>
      <c r="AB66" s="46">
        <f>SUM(B66:Y66)</f>
        <v>246000.0000000001</v>
      </c>
    </row>
    <row r="67" spans="1:30" hidden="true" outlineLevel="1">
      <c r="A67" s="181" t="str">
        <f>Calculations!$A$4</f>
        <v>Wheat</v>
      </c>
      <c r="B67" s="36">
        <f>N67</f>
        <v>6250</v>
      </c>
      <c r="C67" s="36">
        <f>O67</f>
        <v>6250</v>
      </c>
      <c r="D67" s="36">
        <f>P67</f>
        <v>6250</v>
      </c>
      <c r="E67" s="36">
        <f>Q67</f>
        <v>6250</v>
      </c>
      <c r="F67" s="36">
        <f>R67</f>
        <v>6250</v>
      </c>
      <c r="G67" s="36">
        <f>S67</f>
        <v>6250</v>
      </c>
      <c r="H67" s="36">
        <f>T67</f>
        <v>6250</v>
      </c>
      <c r="I67" s="36">
        <f>U67</f>
        <v>6250</v>
      </c>
      <c r="J67" s="36">
        <f>V67</f>
        <v>6250</v>
      </c>
      <c r="K67" s="36">
        <f>W67</f>
        <v>6250</v>
      </c>
      <c r="L67" s="36">
        <f>X67</f>
        <v>6250</v>
      </c>
      <c r="M67" s="36">
        <f>Y67</f>
        <v>6250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6250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6250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6250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6250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6250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6250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6250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6250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6250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6250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6250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6250</v>
      </c>
      <c r="Z67" s="46">
        <f>SUMIF($B$13:$Y$13,"Yes",B67:Y67)</f>
        <v>81250</v>
      </c>
      <c r="AA67" s="46">
        <f>SUM(B67:M67)</f>
        <v>75000</v>
      </c>
      <c r="AB67" s="46">
        <f>SUM(B67:Y67)</f>
        <v>150000</v>
      </c>
    </row>
    <row r="68" spans="1:30" hidden="true" outlineLevel="1">
      <c r="A68" s="181" t="str">
        <f>Calculations!$A$5</f>
        <v>Maize</v>
      </c>
      <c r="B68" s="36">
        <f>N68</f>
        <v>6857.142857142857</v>
      </c>
      <c r="C68" s="36">
        <f>O68</f>
        <v>6857.142857142857</v>
      </c>
      <c r="D68" s="36">
        <f>P68</f>
        <v>6857.142857142857</v>
      </c>
      <c r="E68" s="36">
        <f>Q68</f>
        <v>6857.142857142857</v>
      </c>
      <c r="F68" s="36">
        <f>R68</f>
        <v>6857.142857142857</v>
      </c>
      <c r="G68" s="36">
        <f>S68</f>
        <v>6857.142857142857</v>
      </c>
      <c r="H68" s="36">
        <f>T68</f>
        <v>6857.142857142857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6857.142857142857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6857.142857142857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6857.142857142857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6857.142857142857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6857.142857142857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6857.142857142857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6857.142857142857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54857.14285714285</v>
      </c>
      <c r="AA68" s="46">
        <f>SUM(B68:M68)</f>
        <v>47999.99999999999</v>
      </c>
      <c r="AB68" s="46">
        <f>SUM(B68:Y68)</f>
        <v>95999.99999999999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2083.333333333333</v>
      </c>
      <c r="C75" s="46">
        <f>SUM(Calculations!$R$14:$R$16)/12</f>
        <v>2083.333333333333</v>
      </c>
      <c r="D75" s="46">
        <f>SUM(Calculations!$R$14:$R$16)/12</f>
        <v>2083.333333333333</v>
      </c>
      <c r="E75" s="46">
        <f>SUM(Calculations!$R$14:$R$16)/12</f>
        <v>2083.333333333333</v>
      </c>
      <c r="F75" s="46">
        <f>SUM(Calculations!$R$14:$R$16)/12</f>
        <v>2083.333333333333</v>
      </c>
      <c r="G75" s="46">
        <f>SUM(Calculations!$R$14:$R$16)/12</f>
        <v>2083.333333333333</v>
      </c>
      <c r="H75" s="46">
        <f>SUM(Calculations!$R$14:$R$16)/12</f>
        <v>2083.333333333333</v>
      </c>
      <c r="I75" s="46">
        <f>SUM(Calculations!$R$14:$R$16)/12</f>
        <v>2083.333333333333</v>
      </c>
      <c r="J75" s="46">
        <f>SUM(Calculations!$R$14:$R$16)/12</f>
        <v>2083.333333333333</v>
      </c>
      <c r="K75" s="46">
        <f>SUM(Calculations!$R$14:$R$16)/12</f>
        <v>2083.333333333333</v>
      </c>
      <c r="L75" s="46">
        <f>SUM(Calculations!$R$14:$R$16)/12</f>
        <v>2083.333333333333</v>
      </c>
      <c r="M75" s="46">
        <f>SUM(Calculations!$R$14:$R$16)/12</f>
        <v>2083.333333333333</v>
      </c>
      <c r="N75" s="46">
        <f>SUM(Calculations!$R$14:$R$16)/12</f>
        <v>2083.333333333333</v>
      </c>
      <c r="O75" s="46">
        <f>SUM(Calculations!$R$14:$R$16)/12</f>
        <v>2083.333333333333</v>
      </c>
      <c r="P75" s="46">
        <f>SUM(Calculations!$R$14:$R$16)/12</f>
        <v>2083.333333333333</v>
      </c>
      <c r="Q75" s="46">
        <f>SUM(Calculations!$R$14:$R$16)/12</f>
        <v>2083.333333333333</v>
      </c>
      <c r="R75" s="46">
        <f>SUM(Calculations!$R$14:$R$16)/12</f>
        <v>2083.333333333333</v>
      </c>
      <c r="S75" s="46">
        <f>SUM(Calculations!$R$14:$R$16)/12</f>
        <v>2083.333333333333</v>
      </c>
      <c r="T75" s="46">
        <f>SUM(Calculations!$R$14:$R$16)/12</f>
        <v>2083.333333333333</v>
      </c>
      <c r="U75" s="46">
        <f>SUM(Calculations!$R$14:$R$16)/12</f>
        <v>2083.333333333333</v>
      </c>
      <c r="V75" s="46">
        <f>SUM(Calculations!$R$14:$R$16)/12</f>
        <v>2083.333333333333</v>
      </c>
      <c r="W75" s="46">
        <f>SUM(Calculations!$R$14:$R$16)/12</f>
        <v>2083.333333333333</v>
      </c>
      <c r="X75" s="46">
        <f>SUM(Calculations!$R$14:$R$16)/12</f>
        <v>2083.333333333333</v>
      </c>
      <c r="Y75" s="46">
        <f>SUM(Calculations!$R$14:$R$16)/12</f>
        <v>2083.333333333333</v>
      </c>
      <c r="Z75" s="46">
        <f>SUMIF($B$13:$Y$13,"Yes",B75:Y75)</f>
        <v>27083.33333333333</v>
      </c>
      <c r="AA75" s="46">
        <f>SUM(B75:M75)</f>
        <v>25000</v>
      </c>
      <c r="AB75" s="46">
        <f>SUM(B75:Y75)</f>
        <v>50000.00000000001</v>
      </c>
    </row>
    <row r="76" spans="1:30">
      <c r="A76" s="16" t="s">
        <v>48</v>
      </c>
      <c r="B76" s="46">
        <f>SUM(Calculations!$S$14:$S$16)/12</f>
        <v>2708.333333333333</v>
      </c>
      <c r="C76" s="46">
        <f>SUM(Calculations!$S$14:$S$16)/12</f>
        <v>2708.333333333333</v>
      </c>
      <c r="D76" s="46">
        <f>SUM(Calculations!$S$14:$S$16)/12</f>
        <v>2708.333333333333</v>
      </c>
      <c r="E76" s="46">
        <f>SUM(Calculations!$S$14:$S$16)/12</f>
        <v>2708.333333333333</v>
      </c>
      <c r="F76" s="46">
        <f>SUM(Calculations!$S$14:$S$16)/12</f>
        <v>2708.333333333333</v>
      </c>
      <c r="G76" s="46">
        <f>SUM(Calculations!$S$14:$S$16)/12</f>
        <v>2708.333333333333</v>
      </c>
      <c r="H76" s="46">
        <f>SUM(Calculations!$S$14:$S$16)/12</f>
        <v>2708.333333333333</v>
      </c>
      <c r="I76" s="46">
        <f>SUM(Calculations!$S$14:$S$16)/12</f>
        <v>2708.333333333333</v>
      </c>
      <c r="J76" s="46">
        <f>SUM(Calculations!$S$14:$S$16)/12</f>
        <v>2708.333333333333</v>
      </c>
      <c r="K76" s="46">
        <f>SUM(Calculations!$S$14:$S$16)/12</f>
        <v>2708.333333333333</v>
      </c>
      <c r="L76" s="46">
        <f>SUM(Calculations!$S$14:$S$16)/12</f>
        <v>2708.333333333333</v>
      </c>
      <c r="M76" s="46">
        <f>SUM(Calculations!$S$14:$S$16)/12</f>
        <v>2708.333333333333</v>
      </c>
      <c r="N76" s="46">
        <f>SUM(Calculations!$S$14:$S$16)/12</f>
        <v>2708.333333333333</v>
      </c>
      <c r="O76" s="46">
        <f>SUM(Calculations!$S$14:$S$16)/12</f>
        <v>2708.333333333333</v>
      </c>
      <c r="P76" s="46">
        <f>SUM(Calculations!$S$14:$S$16)/12</f>
        <v>2708.333333333333</v>
      </c>
      <c r="Q76" s="46">
        <f>SUM(Calculations!$S$14:$S$16)/12</f>
        <v>2708.333333333333</v>
      </c>
      <c r="R76" s="46">
        <f>SUM(Calculations!$S$14:$S$16)/12</f>
        <v>2708.333333333333</v>
      </c>
      <c r="S76" s="46">
        <f>SUM(Calculations!$S$14:$S$16)/12</f>
        <v>2708.333333333333</v>
      </c>
      <c r="T76" s="46">
        <f>SUM(Calculations!$S$14:$S$16)/12</f>
        <v>2708.333333333333</v>
      </c>
      <c r="U76" s="46">
        <f>SUM(Calculations!$S$14:$S$16)/12</f>
        <v>2708.333333333333</v>
      </c>
      <c r="V76" s="46">
        <f>SUM(Calculations!$S$14:$S$16)/12</f>
        <v>2708.333333333333</v>
      </c>
      <c r="W76" s="46">
        <f>SUM(Calculations!$S$14:$S$16)/12</f>
        <v>2708.333333333333</v>
      </c>
      <c r="X76" s="46">
        <f>SUM(Calculations!$S$14:$S$16)/12</f>
        <v>2708.333333333333</v>
      </c>
      <c r="Y76" s="46">
        <f>SUM(Calculations!$S$14:$S$16)/12</f>
        <v>2708.333333333333</v>
      </c>
      <c r="Z76" s="46">
        <f>SUMIF($B$13:$Y$13,"Yes",B76:Y76)</f>
        <v>35208.33333333333</v>
      </c>
      <c r="AA76" s="46">
        <f>SUM(B76:M76)</f>
        <v>32500</v>
      </c>
      <c r="AB76" s="46">
        <f>SUM(B76:Y76)</f>
        <v>65000.00000000002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9000</v>
      </c>
      <c r="C79" s="46">
        <f>Inputs!$B$31</f>
        <v>9000</v>
      </c>
      <c r="D79" s="46">
        <f>Inputs!$B$31</f>
        <v>9000</v>
      </c>
      <c r="E79" s="46">
        <f>Inputs!$B$31</f>
        <v>9000</v>
      </c>
      <c r="F79" s="46">
        <f>Inputs!$B$31</f>
        <v>9000</v>
      </c>
      <c r="G79" s="46">
        <f>Inputs!$B$31</f>
        <v>9000</v>
      </c>
      <c r="H79" s="46">
        <f>Inputs!$B$31</f>
        <v>9000</v>
      </c>
      <c r="I79" s="46">
        <f>Inputs!$B$31</f>
        <v>9000</v>
      </c>
      <c r="J79" s="46">
        <f>Inputs!$B$31</f>
        <v>9000</v>
      </c>
      <c r="K79" s="46">
        <f>Inputs!$B$31</f>
        <v>9000</v>
      </c>
      <c r="L79" s="46">
        <f>Inputs!$B$31</f>
        <v>9000</v>
      </c>
      <c r="M79" s="46">
        <f>Inputs!$B$31</f>
        <v>9000</v>
      </c>
      <c r="N79" s="46">
        <f>Inputs!$B$31</f>
        <v>9000</v>
      </c>
      <c r="O79" s="46">
        <f>Inputs!$B$31</f>
        <v>9000</v>
      </c>
      <c r="P79" s="46">
        <f>Inputs!$B$31</f>
        <v>9000</v>
      </c>
      <c r="Q79" s="46">
        <f>Inputs!$B$31</f>
        <v>9000</v>
      </c>
      <c r="R79" s="46">
        <f>Inputs!$B$31</f>
        <v>9000</v>
      </c>
      <c r="S79" s="46">
        <f>Inputs!$B$31</f>
        <v>9000</v>
      </c>
      <c r="T79" s="46">
        <f>Inputs!$B$31</f>
        <v>9000</v>
      </c>
      <c r="U79" s="46">
        <f>Inputs!$B$31</f>
        <v>9000</v>
      </c>
      <c r="V79" s="46">
        <f>Inputs!$B$31</f>
        <v>9000</v>
      </c>
      <c r="W79" s="46">
        <f>Inputs!$B$31</f>
        <v>9000</v>
      </c>
      <c r="X79" s="46">
        <f>Inputs!$B$31</f>
        <v>9000</v>
      </c>
      <c r="Y79" s="46">
        <f>Inputs!$B$31</f>
        <v>9000</v>
      </c>
      <c r="Z79" s="46">
        <f>SUMIF($B$13:$Y$13,"Yes",B79:Y79)</f>
        <v>117000</v>
      </c>
      <c r="AA79" s="46">
        <f>SUM(B79:M79)</f>
        <v>108000</v>
      </c>
      <c r="AB79" s="46">
        <f>SUM(B79:Y79)</f>
        <v>216000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33447.1692283985</v>
      </c>
      <c r="C81" s="46">
        <f>(SUM($AA$18:$AA$29)-SUM($AA$36,$AA$42,$AA$48,$AA$54,$AA$60,$AA$66,$AA$72:$AA$79))*Parameters!$B$37/12</f>
        <v>33447.1692283985</v>
      </c>
      <c r="D81" s="46">
        <f>(SUM($AA$18:$AA$29)-SUM($AA$36,$AA$42,$AA$48,$AA$54,$AA$60,$AA$66,$AA$72:$AA$79))*Parameters!$B$37/12</f>
        <v>33447.1692283985</v>
      </c>
      <c r="E81" s="46">
        <f>(SUM($AA$18:$AA$29)-SUM($AA$36,$AA$42,$AA$48,$AA$54,$AA$60,$AA$66,$AA$72:$AA$79))*Parameters!$B$37/12</f>
        <v>33447.1692283985</v>
      </c>
      <c r="F81" s="46">
        <f>(SUM($AA$18:$AA$29)-SUM($AA$36,$AA$42,$AA$48,$AA$54,$AA$60,$AA$66,$AA$72:$AA$79))*Parameters!$B$37/12</f>
        <v>33447.1692283985</v>
      </c>
      <c r="G81" s="46">
        <f>(SUM($AA$18:$AA$29)-SUM($AA$36,$AA$42,$AA$48,$AA$54,$AA$60,$AA$66,$AA$72:$AA$79))*Parameters!$B$37/12</f>
        <v>33447.1692283985</v>
      </c>
      <c r="H81" s="46">
        <f>(SUM($AA$18:$AA$29)-SUM($AA$36,$AA$42,$AA$48,$AA$54,$AA$60,$AA$66,$AA$72:$AA$79))*Parameters!$B$37/12</f>
        <v>33447.1692283985</v>
      </c>
      <c r="I81" s="46">
        <f>(SUM($AA$18:$AA$29)-SUM($AA$36,$AA$42,$AA$48,$AA$54,$AA$60,$AA$66,$AA$72:$AA$79))*Parameters!$B$37/12</f>
        <v>33447.1692283985</v>
      </c>
      <c r="J81" s="46">
        <f>(SUM($AA$18:$AA$29)-SUM($AA$36,$AA$42,$AA$48,$AA$54,$AA$60,$AA$66,$AA$72:$AA$79))*Parameters!$B$37/12</f>
        <v>33447.1692283985</v>
      </c>
      <c r="K81" s="46">
        <f>(SUM($AA$18:$AA$29)-SUM($AA$36,$AA$42,$AA$48,$AA$54,$AA$60,$AA$66,$AA$72:$AA$79))*Parameters!$B$37/12</f>
        <v>33447.1692283985</v>
      </c>
      <c r="L81" s="46">
        <f>(SUM($AA$18:$AA$29)-SUM($AA$36,$AA$42,$AA$48,$AA$54,$AA$60,$AA$66,$AA$72:$AA$79))*Parameters!$B$37/12</f>
        <v>33447.1692283985</v>
      </c>
      <c r="M81" s="46">
        <f>(SUM($AA$18:$AA$29)-SUM($AA$36,$AA$42,$AA$48,$AA$54,$AA$60,$AA$66,$AA$72:$AA$79))*Parameters!$B$37/12</f>
        <v>33447.1692283985</v>
      </c>
      <c r="N81" s="46">
        <f>(SUM($AA$18:$AA$29)-SUM($AA$36,$AA$42,$AA$48,$AA$54,$AA$60,$AA$66,$AA$72:$AA$79))*Parameters!$B$37/12</f>
        <v>33447.1692283985</v>
      </c>
      <c r="O81" s="46">
        <f>(SUM($AA$18:$AA$29)-SUM($AA$36,$AA$42,$AA$48,$AA$54,$AA$60,$AA$66,$AA$72:$AA$79))*Parameters!$B$37/12</f>
        <v>33447.1692283985</v>
      </c>
      <c r="P81" s="46">
        <f>(SUM($AA$18:$AA$29)-SUM($AA$36,$AA$42,$AA$48,$AA$54,$AA$60,$AA$66,$AA$72:$AA$79))*Parameters!$B$37/12</f>
        <v>33447.1692283985</v>
      </c>
      <c r="Q81" s="46">
        <f>(SUM($AA$18:$AA$29)-SUM($AA$36,$AA$42,$AA$48,$AA$54,$AA$60,$AA$66,$AA$72:$AA$79))*Parameters!$B$37/12</f>
        <v>33447.1692283985</v>
      </c>
      <c r="R81" s="46">
        <f>(SUM($AA$18:$AA$29)-SUM($AA$36,$AA$42,$AA$48,$AA$54,$AA$60,$AA$66,$AA$72:$AA$79))*Parameters!$B$37/12</f>
        <v>33447.1692283985</v>
      </c>
      <c r="S81" s="46">
        <f>(SUM($AA$18:$AA$29)-SUM($AA$36,$AA$42,$AA$48,$AA$54,$AA$60,$AA$66,$AA$72:$AA$79))*Parameters!$B$37/12</f>
        <v>33447.1692283985</v>
      </c>
      <c r="T81" s="46">
        <f>(SUM($AA$18:$AA$29)-SUM($AA$36,$AA$42,$AA$48,$AA$54,$AA$60,$AA$66,$AA$72:$AA$79))*Parameters!$B$37/12</f>
        <v>33447.1692283985</v>
      </c>
      <c r="U81" s="46">
        <f>(SUM($AA$18:$AA$29)-SUM($AA$36,$AA$42,$AA$48,$AA$54,$AA$60,$AA$66,$AA$72:$AA$79))*Parameters!$B$37/12</f>
        <v>33447.1692283985</v>
      </c>
      <c r="V81" s="46">
        <f>(SUM($AA$18:$AA$29)-SUM($AA$36,$AA$42,$AA$48,$AA$54,$AA$60,$AA$66,$AA$72:$AA$79))*Parameters!$B$37/12</f>
        <v>33447.1692283985</v>
      </c>
      <c r="W81" s="46">
        <f>(SUM($AA$18:$AA$29)-SUM($AA$36,$AA$42,$AA$48,$AA$54,$AA$60,$AA$66,$AA$72:$AA$79))*Parameters!$B$37/12</f>
        <v>33447.1692283985</v>
      </c>
      <c r="X81" s="46">
        <f>(SUM($AA$18:$AA$29)-SUM($AA$36,$AA$42,$AA$48,$AA$54,$AA$60,$AA$66,$AA$72:$AA$79))*Parameters!$B$37/12</f>
        <v>33447.1692283985</v>
      </c>
      <c r="Y81" s="46">
        <f>(SUM($AA$18:$AA$29)-SUM($AA$36,$AA$42,$AA$48,$AA$54,$AA$60,$AA$66,$AA$72:$AA$79))*Parameters!$B$37/12</f>
        <v>33447.1692283985</v>
      </c>
      <c r="Z81" s="46">
        <f>SUMIF($B$13:$Y$13,"Yes",B81:Y81)</f>
        <v>434813.1999691803</v>
      </c>
      <c r="AA81" s="46">
        <f>SUM(B81:M81)</f>
        <v>401366.0307407819</v>
      </c>
      <c r="AB81" s="46">
        <f>SUM(B81:Y81)</f>
        <v>802732.0614815636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103693.978752208</v>
      </c>
      <c r="C88" s="19">
        <f>SUM(C72:C82,C66,C60,C54,C48,C42,C36)</f>
        <v>60345.97875220802</v>
      </c>
      <c r="D88" s="19">
        <f>SUM(D72:D82,D66,D60,D54,D48,D42,D36)</f>
        <v>60345.97875220802</v>
      </c>
      <c r="E88" s="19">
        <f>SUM(E72:E82,E66,E60,E54,E48,E42,E36)</f>
        <v>155145.978752208</v>
      </c>
      <c r="F88" s="19">
        <f>SUM(F72:F82,F66,F60,F54,F48,F42,F36)</f>
        <v>60345.97875220802</v>
      </c>
      <c r="G88" s="19">
        <f>SUM(G72:G82,G66,G60,G54,G48,G42,G36)</f>
        <v>60345.97875220802</v>
      </c>
      <c r="H88" s="19">
        <f>SUM(H72:H82,H66,H60,H54,H48,H42,H36)</f>
        <v>168737.8183735975</v>
      </c>
      <c r="I88" s="19">
        <f>SUM(I72:I82,I66,I60,I54,I48,I42,I36)</f>
        <v>53488.83589506516</v>
      </c>
      <c r="J88" s="19">
        <f>SUM(J72:J82,J66,J60,J54,J48,J42,J36)</f>
        <v>53488.83589506516</v>
      </c>
      <c r="K88" s="19">
        <f>SUM(K72:K82,K66,K60,K54,K48,K42,K36)</f>
        <v>143488.8358950652</v>
      </c>
      <c r="L88" s="19">
        <f>SUM(L72:L82,L66,L60,L54,L48,L42,L36)</f>
        <v>53488.83589506516</v>
      </c>
      <c r="M88" s="19">
        <f>SUM(M72:M82,M66,M60,M54,M48,M42,M36)</f>
        <v>53488.83589506516</v>
      </c>
      <c r="N88" s="19">
        <f>SUM(N72:N82,N66,N60,N54,N48,N42,N36)</f>
        <v>103693.978752208</v>
      </c>
      <c r="O88" s="19">
        <f>SUM(O72:O82,O66,O60,O54,O48,O42,O36)</f>
        <v>60345.97875220802</v>
      </c>
      <c r="P88" s="19">
        <f>SUM(P72:P82,P66,P60,P54,P48,P42,P36)</f>
        <v>60345.97875220802</v>
      </c>
      <c r="Q88" s="19">
        <f>SUM(Q72:Q82,Q66,Q60,Q54,Q48,Q42,Q36)</f>
        <v>155145.978752208</v>
      </c>
      <c r="R88" s="19">
        <f>SUM(R72:R82,R66,R60,R54,R48,R42,R36)</f>
        <v>60345.97875220802</v>
      </c>
      <c r="S88" s="19">
        <f>SUM(S72:S82,S66,S60,S54,S48,S42,S36)</f>
        <v>60345.97875220802</v>
      </c>
      <c r="T88" s="19">
        <f>SUM(T72:T82,T66,T60,T54,T48,T42,T36)</f>
        <v>168737.8183735975</v>
      </c>
      <c r="U88" s="19">
        <f>SUM(U72:U82,U66,U60,U54,U48,U42,U36)</f>
        <v>53488.83589506516</v>
      </c>
      <c r="V88" s="19">
        <f>SUM(V72:V82,V66,V60,V54,V48,V42,V36)</f>
        <v>53488.83589506516</v>
      </c>
      <c r="W88" s="19">
        <f>SUM(W72:W82,W66,W60,W54,W48,W42,W36)</f>
        <v>143488.8358950652</v>
      </c>
      <c r="X88" s="19">
        <f>SUM(X72:X82,X66,X60,X54,X48,X42,X36)</f>
        <v>53488.83589506516</v>
      </c>
      <c r="Y88" s="19">
        <f>SUM(Y72:Y82,Y66,Y60,Y54,Y48,Y42,Y36)</f>
        <v>53488.83589506516</v>
      </c>
      <c r="Z88" s="19">
        <f>SUMIF($B$13:$Y$13,"Yes",B88:Y88)</f>
        <v>1130099.84911438</v>
      </c>
      <c r="AA88" s="19">
        <f>SUM(B88:M88)</f>
        <v>1026405.870362172</v>
      </c>
      <c r="AB88" s="19">
        <f>SUM(B88:Y88)</f>
        <v>2052811.740724343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925000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4950000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9650000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8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25</v>
      </c>
      <c r="D19" s="145"/>
      <c r="E19" s="20"/>
      <c r="F19" s="145" t="s">
        <v>93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111</v>
      </c>
      <c r="B20" s="16"/>
      <c r="C20" s="143">
        <v>50</v>
      </c>
      <c r="D20" s="147"/>
      <c r="E20" s="16"/>
      <c r="F20" s="147" t="s">
        <v>93</v>
      </c>
      <c r="G20" s="16"/>
      <c r="H20" s="16"/>
      <c r="I20" s="147" t="s">
        <v>110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15000</v>
      </c>
    </row>
    <row r="31" spans="1:48">
      <c r="A31" s="5" t="s">
        <v>118</v>
      </c>
      <c r="B31" s="158">
        <v>9000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450000</v>
      </c>
    </row>
    <row r="46" spans="1:48" customHeight="1" ht="30">
      <c r="A46" s="57" t="s">
        <v>132</v>
      </c>
      <c r="B46" s="161">
        <v>350000</v>
      </c>
    </row>
    <row r="47" spans="1:48" customHeight="1" ht="30">
      <c r="A47" s="57" t="s">
        <v>133</v>
      </c>
      <c r="B47" s="161">
        <v>450000</v>
      </c>
    </row>
    <row r="48" spans="1:48" customHeight="1" ht="30">
      <c r="A48" s="57" t="s">
        <v>134</v>
      </c>
      <c r="B48" s="161">
        <v>2500000</v>
      </c>
    </row>
    <row r="49" spans="1:48" customHeight="1" ht="30">
      <c r="A49" s="57" t="s">
        <v>135</v>
      </c>
      <c r="B49" s="161">
        <v>25000</v>
      </c>
    </row>
    <row r="50" spans="1:48">
      <c r="A50" s="43"/>
      <c r="B50" s="36"/>
    </row>
    <row r="51" spans="1:48">
      <c r="A51" s="58" t="s">
        <v>136</v>
      </c>
      <c r="B51" s="161">
        <v>6000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490000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100000</v>
      </c>
      <c r="B57" s="157">
        <v>0</v>
      </c>
      <c r="C57" s="164" t="s">
        <v>147</v>
      </c>
      <c r="D57" s="165" t="s">
        <v>148</v>
      </c>
      <c r="E57" s="165" t="s">
        <v>92</v>
      </c>
      <c r="F57" s="165" t="s">
        <v>146</v>
      </c>
    </row>
    <row r="58" spans="1:48">
      <c r="A58" s="157">
        <v>100000</v>
      </c>
      <c r="B58" s="157">
        <v>0</v>
      </c>
      <c r="C58" s="164" t="s">
        <v>149</v>
      </c>
      <c r="D58" s="165" t="s">
        <v>150</v>
      </c>
      <c r="E58" s="165" t="s">
        <v>92</v>
      </c>
      <c r="F58" s="165" t="s">
        <v>146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152</v>
      </c>
      <c r="C65" s="10" t="s">
        <v>153</v>
      </c>
    </row>
    <row r="66" spans="1:48">
      <c r="A66" s="142" t="s">
        <v>154</v>
      </c>
      <c r="B66" s="159">
        <v>70157</v>
      </c>
      <c r="C66" s="163">
        <v>25621</v>
      </c>
      <c r="D66" s="49">
        <f>INDEX(Parameters!$D$79:$D$90,MATCH(Inputs!A66,Parameters!$C$79:$C$90,0))</f>
        <v>5</v>
      </c>
    </row>
    <row r="67" spans="1:48">
      <c r="A67" s="143" t="s">
        <v>155</v>
      </c>
      <c r="B67" s="157">
        <v>92238</v>
      </c>
      <c r="C67" s="165">
        <v>56241</v>
      </c>
      <c r="D67" s="49">
        <f>INDEX(Parameters!$D$79:$D$90,MATCH(Inputs!A67,Parameters!$C$79:$C$90,0))</f>
        <v>4</v>
      </c>
    </row>
    <row r="68" spans="1:48">
      <c r="A68" s="143" t="s">
        <v>156</v>
      </c>
      <c r="B68" s="157">
        <v>60301</v>
      </c>
      <c r="C68" s="165">
        <v>25480</v>
      </c>
      <c r="D68" s="49">
        <f>INDEX(Parameters!$D$79:$D$90,MATCH(Inputs!A68,Parameters!$C$79:$C$90,0))</f>
        <v>3</v>
      </c>
    </row>
    <row r="69" spans="1:48">
      <c r="A69" s="143" t="s">
        <v>157</v>
      </c>
      <c r="B69" s="157">
        <v>35484</v>
      </c>
      <c r="C69" s="165">
        <v>10212</v>
      </c>
      <c r="D69" s="49">
        <f>INDEX(Parameters!$D$79:$D$90,MATCH(Inputs!A69,Parameters!$C$79:$C$90,0))</f>
        <v>2</v>
      </c>
    </row>
    <row r="70" spans="1:48">
      <c r="A70" s="143" t="s">
        <v>158</v>
      </c>
      <c r="B70" s="157">
        <v>48990</v>
      </c>
      <c r="C70" s="165">
        <v>12562</v>
      </c>
      <c r="D70" s="49">
        <f>INDEX(Parameters!$D$79:$D$90,MATCH(Inputs!A70,Parameters!$C$79:$C$90,0))</f>
        <v>1</v>
      </c>
    </row>
    <row r="71" spans="1:48">
      <c r="A71" s="144" t="s">
        <v>159</v>
      </c>
      <c r="B71" s="158">
        <v>20655</v>
      </c>
      <c r="C71" s="167">
        <v>12012</v>
      </c>
      <c r="D71" s="49">
        <f>INDEX(Parameters!$D$79:$D$90,MATCH(Inputs!A71,Parameters!$C$79:$C$90,0))</f>
        <v>12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15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200000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12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Wheat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42887</v>
      </c>
      <c r="C4" s="38">
        <f>IFERROR(DATE(YEAR(B4),MONTH(B4)+ROUND(T4/2,0),DAY(B4)),B4)</f>
        <v>42979</v>
      </c>
      <c r="D4" s="38">
        <f>IFERROR(DATE(YEAR(B4),MONTH(B4)+T4,DAY(B4)),"")</f>
        <v>43040</v>
      </c>
      <c r="E4" s="38">
        <f>IFERROR(IF($S4=0,"",IF($S4=2,DATE(YEAR(B4),MONTH(B4)+6,DAY(B4)),IF($S4=1,B4,""))),"")</f>
        <v>43070</v>
      </c>
      <c r="F4" s="38">
        <f>IFERROR(IF($S4=0,"",IF($S4=2,DATE(YEAR(C4),MONTH(C4)+6,DAY(C4)),IF($S4=1,C4,""))),"")</f>
        <v>43160</v>
      </c>
      <c r="G4" s="38">
        <f>IFERROR(IF($S4=0,"",IF($S4=2,DATE(YEAR(D4),MONTH(D4)+6,DAY(D4)),IF($S4=1,D4,""))),"")</f>
        <v>43221</v>
      </c>
      <c r="H4" s="20">
        <f>Inputs!C7</f>
        <v>10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1599.557862963579</v>
      </c>
      <c r="M4" s="25">
        <f>L4*H4</f>
        <v>15995.57862963579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27.3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873358.5931781138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38500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75000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42887</v>
      </c>
      <c r="C5" s="39">
        <f>IFERROR(DATE(YEAR(B5),MONTH(B5)+ROUND(T5/2,0),DAY(B5)),B5)</f>
        <v>42979</v>
      </c>
      <c r="D5" s="39">
        <f>IFERROR(DATE(YEAR(B5),MONTH(B5)+T5,DAY(B5)),"")</f>
        <v>43070</v>
      </c>
      <c r="E5" s="39">
        <f>IFERROR(IF($S5=0,"",IF($S5=2,DATE(YEAR(B5),MONTH(B5)+6,DAY(B5)),IF($S5=1,B5,""))),"")</f>
        <v>42887</v>
      </c>
      <c r="F5" s="39">
        <f>IFERROR(IF($S5=0,"",IF($S5=2,DATE(YEAR(C5),MONTH(C5)+6,DAY(C5)),IF($S5=1,C5,""))),"")</f>
        <v>42979</v>
      </c>
      <c r="G5" s="39">
        <f>IFERROR(IF($S5=0,"",IF($S5=2,DATE(YEAR(D5),MONTH(D5)+6,DAY(D5)),IF($S5=1,D5,""))),"")</f>
        <v>43070</v>
      </c>
      <c r="H5" s="16">
        <f>Inputs!C8</f>
        <v>8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1899.234772320367</v>
      </c>
      <c r="M5" s="30">
        <f>L5*H5</f>
        <v>15193.87817856294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303117.8696623305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2424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2400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34945.91981069475</v>
      </c>
      <c r="AB5" s="34">
        <f>H5*IFERROR(INDEX(Parameters!$A$3:$AI$17,MATCH(Calculations!A5,Parameters!$A$3:$A$17,0),MATCH(Parameters!$O$3,Parameters!$A$3:$AI$3,0)),AVERAGE(Parameters!$O$4:$O$17))*(1-Inputs!$B$25/100)</f>
        <v>48000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25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191666.6666666667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15000</v>
      </c>
      <c r="S14" s="63">
        <f>IFERROR(D14*INDEX(Parameters!$A$22:$P$29,MATCH(Calculations!$A14,Parameters!$A$22:$A$29,0),MATCH(Parameters!$N$22,Parameters!$A$22:$P$22,0)),"")</f>
        <v>17500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50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10000</v>
      </c>
      <c r="S15" s="64">
        <f>IFERROR(D15*INDEX(Parameters!$A$22:$P$29,MATCH(Calculations!$A15,Parameters!$A$22:$A$29,0),MATCH(Parameters!$N$22,Parameters!$A$22:$P$22,0)),"")</f>
        <v>15000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490000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42924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42917</v>
      </c>
      <c r="F33" t="s">
        <v>165</v>
      </c>
      <c r="G33" s="128">
        <f>IF(Inputs!B79="","",DATE(YEAR(Inputs!B79),MONTH(Inputs!B79),DAY(Inputs!B79)))</f>
        <v>42894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42955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42948</v>
      </c>
      <c r="F34" t="s">
        <v>166</v>
      </c>
      <c r="G34" s="128">
        <f>IF(Inputs!B80="","",DATE(YEAR(Inputs!B80),MONTH(Inputs!B80),DAY(Inputs!B80)))</f>
        <v>42924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42986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42979</v>
      </c>
      <c r="F35" t="s">
        <v>168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43016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43009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43047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43040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43077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43070</v>
      </c>
      <c r="F38" t="s">
        <v>231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43108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43101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43139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43132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43167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43160</v>
      </c>
      <c r="F41" t="s">
        <v>232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43198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43191</v>
      </c>
      <c r="F42" t="s">
        <v>233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43228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43259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206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302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109</v>
      </c>
      <c r="B26" s="16" t="s">
        <v>301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111</v>
      </c>
      <c r="B27" s="71" t="s">
        <v>301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301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301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97</v>
      </c>
      <c r="B41" s="191" t="s">
        <v>93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302</v>
      </c>
      <c r="B44" s="72">
        <v>50000</v>
      </c>
      <c r="C44" s="72">
        <v>200000</v>
      </c>
    </row>
    <row r="45" spans="1:36">
      <c r="A45" t="s">
        <v>109</v>
      </c>
      <c r="B45" s="72">
        <v>25000</v>
      </c>
      <c r="C45" s="72">
        <v>50000</v>
      </c>
    </row>
    <row r="46" spans="1:36">
      <c r="A46" t="s">
        <v>111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317</v>
      </c>
      <c r="H52" s="12" t="s">
        <v>129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234</v>
      </c>
      <c r="E53" s="10" t="s">
        <v>193</v>
      </c>
      <c r="F53" s="10" t="s">
        <v>253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171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230</v>
      </c>
      <c r="J76" s="11" t="s">
        <v>351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93</v>
      </c>
      <c r="F77" s="12" t="s">
        <v>93</v>
      </c>
      <c r="G77" s="12" t="s">
        <v>110</v>
      </c>
      <c r="H77" s="12" t="s">
        <v>129</v>
      </c>
      <c r="I77" s="12" t="s">
        <v>353</v>
      </c>
      <c r="J77" s="136" t="s">
        <v>354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358</v>
      </c>
      <c r="H78" s="12" t="s">
        <v>318</v>
      </c>
      <c r="I78" s="12" t="s">
        <v>359</v>
      </c>
      <c r="J78" s="70" t="s">
        <v>360</v>
      </c>
      <c r="K78" s="12" t="s">
        <v>93</v>
      </c>
      <c r="AJ78" s="12"/>
    </row>
    <row r="79" spans="1:36">
      <c r="B79" s="176">
        <v>10</v>
      </c>
      <c r="C79" s="12" t="s">
        <v>158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171</v>
      </c>
      <c r="J79" s="70" t="s">
        <v>364</v>
      </c>
      <c r="K79" s="12" t="s">
        <v>93</v>
      </c>
      <c r="AJ79" s="12"/>
    </row>
    <row r="80" spans="1:36">
      <c r="B80" s="176">
        <v>20</v>
      </c>
      <c r="C80" s="12" t="s">
        <v>157</v>
      </c>
      <c r="D80" s="12">
        <f>D79+1</f>
        <v>2</v>
      </c>
      <c r="E80" s="12" t="s">
        <v>365</v>
      </c>
      <c r="F80" s="12" t="s">
        <v>366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155</v>
      </c>
      <c r="D82" s="12">
        <f>D81+1</f>
        <v>4</v>
      </c>
      <c r="J82" s="70"/>
    </row>
    <row r="83" spans="1:36">
      <c r="B83" s="176">
        <v>50</v>
      </c>
      <c r="C83" s="12" t="s">
        <v>154</v>
      </c>
      <c r="D83" s="12">
        <f>D82+1</f>
        <v>5</v>
      </c>
    </row>
    <row r="84" spans="1:36">
      <c r="B84" s="176">
        <v>60</v>
      </c>
      <c r="C84" s="12" t="s">
        <v>94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369</v>
      </c>
      <c r="D86" s="12">
        <f>D85+1</f>
        <v>8</v>
      </c>
    </row>
    <row r="87" spans="1:36">
      <c r="B87" s="176">
        <v>89.99999999999999</v>
      </c>
      <c r="C87" s="12" t="s">
        <v>370</v>
      </c>
      <c r="D87" s="12">
        <f>D86+1</f>
        <v>9</v>
      </c>
    </row>
    <row r="88" spans="1:36">
      <c r="B88" s="176">
        <v>99.99999999999999</v>
      </c>
      <c r="C88" s="12" t="s">
        <v>371</v>
      </c>
      <c r="D88" s="12">
        <f>D87+1</f>
        <v>10</v>
      </c>
    </row>
    <row r="89" spans="1:36">
      <c r="C89" s="12" t="s">
        <v>372</v>
      </c>
      <c r="D89" s="12">
        <f>D88+1</f>
        <v>11</v>
      </c>
    </row>
    <row r="90" spans="1:36">
      <c r="C90" s="12" t="s">
        <v>159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