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<sst xmlns="http://schemas.openxmlformats.org/spreadsheetml/2006/main" uniqueCount="373">
  <si>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</si>
  <si>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</si>
  <si>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</si>
  <si>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</si>
  <si>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</si>
  <si>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</si>
  <si>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</si>
  <si>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</si>
  <si>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</si>
  <si>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</si>
  <si>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</si>
  <si>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</si>
  <si>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</si>
  <si>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</si>
  <si>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</si>
  <si>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</si>
  <si>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</si>
  <si>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</si>
  <si>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</si>
  <si>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</si>
  <si>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</si>
  <si>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</si>
  <si>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</si>
  <si>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</si>
  <si>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</si>
  <si>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</si>
  <si>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</si>
  <si>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</si>
  <si>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</si>
  <si>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</si>
  <si>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</si>
  <si>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</si>
  <si>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</si>
  <si>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</si>
  <si>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</si>
  <si>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</si>
  <si>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</si>
  <si>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</si>
  <si>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</si>
  <si>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</si>
  <si>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</si>
  <si>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</si>
  <si>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</si>
  <si>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</si>
  <si>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</si>
  <si>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</si>
  <si>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</si>
  <si>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</si>
  <si>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</si>
  <si>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</si>
  <si>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</si>
  <si>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</si>
  <si>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</si>
  <si>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</si>
  <si>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</si>
  <si>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</si>
  <si>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</si>
  <si>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</si>
  <si>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</si>
  <si>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</si>
  <si>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</si>
  <si>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</si>
  <si>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</si>
  <si>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</si>
  <si>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</si>
  <si>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</si>
  <si>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</si>
  <si>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</si>
  <si>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</si>
  <si>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</si>
  <si>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</si>
  <si>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</si>
  <si>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</si>
  <si>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</si>
  <si>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</si>
  <si>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</si>
  <si>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</si>
  <si>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</si>
  <si>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</si>
  <si>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</si>
  <si>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</si>
  <si>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</si>
  <si>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</si>
  <si>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</si>
  <si>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</si>
  <si>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</si>
  <si>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</si>
  <si>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</si>
  <si>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</si>
  <si>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</si>
  <si>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</si>
  <si>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</si>
  <si>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</si>
  <si>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</si>
  <si>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September</t>
  </si>
  <si>
    <t>Bananas</t>
  </si>
  <si>
    <t>every month</t>
  </si>
  <si>
    <t>Other crops</t>
  </si>
  <si>
    <t>NGO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</si>
  <si>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</si>
  <si>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</si>
  <si>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</si>
  <si>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</si>
  <si>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</si>
  <si>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</si>
  <si>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</si>
  <si>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</si>
  <si>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</si>
  <si>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</si>
  <si>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</si>
  <si>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</si>
  <si>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</si>
  <si>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</si>
  <si>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</si>
  <si>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</si>
  <si>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</si>
  <si>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</si>
  <si>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</si>
  <si>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</si>
  <si>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</si>
  <si>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</si>
  <si>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</si>
  <si>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</si>
  <si>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</si>
  <si>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</si>
  <si>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</si>
  <si>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</si>
  <si>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</si>
  <si>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</si>
  <si>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</si>
  <si>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</si>
  <si>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</si>
  <si>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</si>
  <si>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</si>
  <si>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</si>
  <si>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</si>
  <si>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</si>
  <si>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</si>
  <si>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</si>
  <si>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</si>
  <si>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</si>
  <si>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</si>
  <si>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</si>
  <si>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</si>
  <si>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</si>
  <si>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</si>
  <si>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</si>
  <si>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</si>
  <si>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</si>
  <si>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</si>
  <si>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12/30/2016</t>
  </si>
  <si>
    <t>mobile</t>
  </si>
  <si>
    <t>trp 100%</t>
  </si>
  <si>
    <t>3/16/2017</t>
  </si>
  <si>
    <t>6/5/2017</t>
  </si>
  <si>
    <t>12/2/2016</t>
  </si>
  <si>
    <t>6/8/2017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</si>
  <si>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</si>
  <si>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</si>
  <si>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</si>
  <si>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</si>
  <si>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</si>
  <si>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</si>
  <si>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</si>
  <si>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</si>
  <si>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</si>
  <si>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</si>
  <si>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</si>
  <si>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2017/6/8</t>
  </si>
  <si>
    <t>Loan terms</t>
  </si>
  <si>
    <t>Expected disbursement date</t>
  </si>
  <si>
    <t>Expected first repayment date</t>
  </si>
  <si>
    <t>2017/7/8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</si>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</sst>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0.3137535873282282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0.01184002806525171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411923.8979396462</v>
      </c>
    </row>
    <row r="18" spans="1:7">
      <c r="B18" s="1" t="s">
        <v>12</v>
      </c>
      <c r="C18" s="36">
        <f>MIN(Output!B6:M6)</f>
        <v>21559.98374019511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49581.98435518678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4800</v>
      </c>
    </row>
    <row r="25" spans="1:7">
      <c r="B25" s="1" t="s">
        <v>18</v>
      </c>
      <c r="C25" s="36">
        <f>MAX(Inputs!A56:A60)</f>
        <v>6000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34691.98374019511</v>
      </c>
      <c r="C6" s="51">
        <f>C30-C88</f>
        <v>34691.98374019511</v>
      </c>
      <c r="D6" s="51">
        <f>D30-D88</f>
        <v>34691.98374019511</v>
      </c>
      <c r="E6" s="51">
        <f>E30-E88</f>
        <v>21559.98374019511</v>
      </c>
      <c r="F6" s="51">
        <f>F30-F88</f>
        <v>30771.98374019511</v>
      </c>
      <c r="G6" s="51">
        <f>G30-G88</f>
        <v>30771.98374019511</v>
      </c>
      <c r="H6" s="51">
        <f>H30-H88</f>
        <v>29571.98374019511</v>
      </c>
      <c r="I6" s="51">
        <f>I30-I88</f>
        <v>30771.98374019511</v>
      </c>
      <c r="J6" s="51">
        <f>J30-J88</f>
        <v>32671.21851251546</v>
      </c>
      <c r="K6" s="51">
        <f>K30-K88</f>
        <v>47454.84141018798</v>
      </c>
      <c r="L6" s="51">
        <f>L30-L88</f>
        <v>49581.98435518678</v>
      </c>
      <c r="M6" s="51">
        <f>M30-M88</f>
        <v>34691.98374019511</v>
      </c>
      <c r="N6" s="51">
        <f>N30-N88</f>
        <v>34691.98374019511</v>
      </c>
      <c r="O6" s="51">
        <f>O30-O88</f>
        <v>34691.98374019511</v>
      </c>
      <c r="P6" s="51">
        <f>P30-P88</f>
        <v>34691.98374019511</v>
      </c>
      <c r="Q6" s="51">
        <f>Q30-Q88</f>
        <v>21559.98374019511</v>
      </c>
      <c r="R6" s="51">
        <f>R30-R88</f>
        <v>30771.98374019511</v>
      </c>
      <c r="S6" s="51">
        <f>S30-S88</f>
        <v>30771.98374019511</v>
      </c>
      <c r="T6" s="51">
        <f>T30-T88</f>
        <v>29571.98374019511</v>
      </c>
      <c r="U6" s="51">
        <f>U30-U88</f>
        <v>30771.98374019511</v>
      </c>
      <c r="V6" s="51">
        <f>V30-V88</f>
        <v>32671.21851251546</v>
      </c>
      <c r="W6" s="51">
        <f>W30-W88</f>
        <v>47454.84141018798</v>
      </c>
      <c r="X6" s="51">
        <f>X30-X88</f>
        <v>49581.98435518678</v>
      </c>
      <c r="Y6" s="51">
        <f>Y30-Y88</f>
        <v>34691.98374019511</v>
      </c>
      <c r="Z6" s="51">
        <f>SUMIF($B$13:$Y$13,"Yes",B6:Y6)</f>
        <v>628675.7841210121</v>
      </c>
      <c r="AA6" s="51">
        <f>AA30-AA88</f>
        <v>411923.8979396462</v>
      </c>
      <c r="AB6" s="51">
        <f>AB30-AB88</f>
        <v>823847.7958792917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2417</v>
      </c>
      <c r="I7" s="80">
        <f>IF(ISERROR(VLOOKUP(MONTH(I5),Inputs!$D$66:$D$71,1,0)),"",INDEX(Inputs!$B$66:$B$71,MATCH(MONTH(Output!I5),Inputs!$D$66:$D$71,0))-INDEX(Inputs!$C$66:$C$71,MATCH(MONTH(Output!I5),Inputs!$D$66:$D$71,0)))</f>
        <v>2110</v>
      </c>
      <c r="J7" s="80">
        <f>IF(ISERROR(VLOOKUP(MONTH(J5),Inputs!$D$66:$D$71,1,0)),"",INDEX(Inputs!$B$66:$B$71,MATCH(MONTH(Output!J5),Inputs!$D$66:$D$71,0))-INDEX(Inputs!$C$66:$C$71,MATCH(MONTH(Output!J5),Inputs!$D$66:$D$71,0)))</f>
        <v>990</v>
      </c>
      <c r="K7" s="80">
        <f>IF(ISERROR(VLOOKUP(MONTH(K5),Inputs!$D$66:$D$71,1,0)),"",INDEX(Inputs!$B$66:$B$71,MATCH(MONTH(Output!K5),Inputs!$D$66:$D$71,0))-INDEX(Inputs!$C$66:$C$71,MATCH(MONTH(Output!K5),Inputs!$D$66:$D$71,0)))</f>
        <v>5578</v>
      </c>
      <c r="L7" s="80">
        <f>IF(ISERROR(VLOOKUP(MONTH(L5),Inputs!$D$66:$D$71,1,0)),"",INDEX(Inputs!$B$66:$B$71,MATCH(MONTH(Output!L5),Inputs!$D$66:$D$71,0))-INDEX(Inputs!$C$66:$C$71,MATCH(MONTH(Output!L5),Inputs!$D$66:$D$71,0)))</f>
        <v>-1565</v>
      </c>
      <c r="M7" s="80">
        <f>IF(ISERROR(VLOOKUP(MONTH(M5),Inputs!$D$66:$D$71,1,0)),"",INDEX(Inputs!$B$66:$B$71,MATCH(MONTH(Output!M5),Inputs!$D$66:$D$71,0))-INDEX(Inputs!$C$66:$C$71,MATCH(MONTH(Output!M5),Inputs!$D$66:$D$71,0)))</f>
        <v>4905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2417</v>
      </c>
      <c r="U7" s="80">
        <f>IF(ISERROR(VLOOKUP(MONTH(U5),Inputs!$D$66:$D$71,1,0)),"",INDEX(Inputs!$B$66:$B$71,MATCH(MONTH(Output!U5),Inputs!$D$66:$D$71,0))-INDEX(Inputs!$C$66:$C$71,MATCH(MONTH(Output!U5),Inputs!$D$66:$D$71,0)))</f>
        <v>2110</v>
      </c>
      <c r="V7" s="80">
        <f>IF(ISERROR(VLOOKUP(MONTH(V5),Inputs!$D$66:$D$71,1,0)),"",INDEX(Inputs!$B$66:$B$71,MATCH(MONTH(Output!V5),Inputs!$D$66:$D$71,0))-INDEX(Inputs!$C$66:$C$71,MATCH(MONTH(Output!V5),Inputs!$D$66:$D$71,0)))</f>
        <v>990</v>
      </c>
      <c r="W7" s="80">
        <f>IF(ISERROR(VLOOKUP(MONTH(W5),Inputs!$D$66:$D$71,1,0)),"",INDEX(Inputs!$B$66:$B$71,MATCH(MONTH(Output!W5),Inputs!$D$66:$D$71,0))-INDEX(Inputs!$C$66:$C$71,MATCH(MONTH(Output!W5),Inputs!$D$66:$D$71,0)))</f>
        <v>5578</v>
      </c>
      <c r="X7" s="80">
        <f>IF(ISERROR(VLOOKUP(MONTH(X5),Inputs!$D$66:$D$71,1,0)),"",INDEX(Inputs!$B$66:$B$71,MATCH(MONTH(Output!X5),Inputs!$D$66:$D$71,0))-INDEX(Inputs!$C$66:$C$71,MATCH(MONTH(Output!X5),Inputs!$D$66:$D$71,0)))</f>
        <v>-1565</v>
      </c>
      <c r="Y7" s="80">
        <f>IF(ISERROR(VLOOKUP(MONTH(Y5),Inputs!$D$66:$D$71,1,0)),"",INDEX(Inputs!$B$66:$B$71,MATCH(MONTH(Output!Y5),Inputs!$D$66:$D$71,0))-INDEX(Inputs!$C$66:$C$71,MATCH(MONTH(Output!Y5),Inputs!$D$66:$D$71,0)))</f>
        <v>4905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234691.9837401951</v>
      </c>
      <c r="C11" s="80">
        <f>C6+C9-C10</f>
        <v>20247.53929575066</v>
      </c>
      <c r="D11" s="80">
        <f>D6+D9-D10</f>
        <v>20247.53929575066</v>
      </c>
      <c r="E11" s="80">
        <f>E6+E9-E10</f>
        <v>7115.539295750663</v>
      </c>
      <c r="F11" s="80">
        <f>F6+F9-F10</f>
        <v>16327.53929575066</v>
      </c>
      <c r="G11" s="80">
        <f>G6+G9-G10</f>
        <v>16327.53929575066</v>
      </c>
      <c r="H11" s="80">
        <f>H6+H9-H10</f>
        <v>15127.53929575066</v>
      </c>
      <c r="I11" s="80">
        <f>I6+I9-I10</f>
        <v>16327.53929575066</v>
      </c>
      <c r="J11" s="80">
        <f>J6+J9-J10</f>
        <v>18226.77406807102</v>
      </c>
      <c r="K11" s="80">
        <f>K6+K9-K10</f>
        <v>33010.39696574353</v>
      </c>
      <c r="L11" s="80">
        <f>L6+L9-L10</f>
        <v>35137.53991074234</v>
      </c>
      <c r="M11" s="80">
        <f>M6+M9-M10</f>
        <v>20247.53929575066</v>
      </c>
      <c r="N11" s="80">
        <f>N6+N9-N10</f>
        <v>20247.53929575066</v>
      </c>
      <c r="O11" s="80">
        <f>O6+O9-O10</f>
        <v>20247.53929575066</v>
      </c>
      <c r="P11" s="80">
        <f>P6+P9-P10</f>
        <v>20247.53929575066</v>
      </c>
      <c r="Q11" s="80">
        <f>Q6+Q9-Q10</f>
        <v>7115.539295750663</v>
      </c>
      <c r="R11" s="80">
        <f>R6+R9-R10</f>
        <v>16327.53929575066</v>
      </c>
      <c r="S11" s="80">
        <f>S6+S9-S10</f>
        <v>16327.53929575066</v>
      </c>
      <c r="T11" s="80">
        <f>T6+T9-T10</f>
        <v>15127.53929575066</v>
      </c>
      <c r="U11" s="80">
        <f>U6+U9-U10</f>
        <v>30771.98374019511</v>
      </c>
      <c r="V11" s="80">
        <f>V6+V9-V10</f>
        <v>32671.21851251546</v>
      </c>
      <c r="W11" s="80">
        <f>W6+W9-W10</f>
        <v>47454.84141018798</v>
      </c>
      <c r="X11" s="80">
        <f>X6+X9-X10</f>
        <v>49581.98435518678</v>
      </c>
      <c r="Y11" s="80">
        <f>Y6+Y9-Y10</f>
        <v>34691.98374019511</v>
      </c>
      <c r="Z11" s="85">
        <f>SUMIF($B$13:$Y$13,"Yes",B11:Y11)</f>
        <v>568675.784121012</v>
      </c>
      <c r="AA11" s="80">
        <f>SUM(B11:M11)</f>
        <v>453035.0090507573</v>
      </c>
      <c r="AB11" s="46">
        <f>SUM(B11:Y11)</f>
        <v>763847.7958792923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0.05362028252663525</v>
      </c>
      <c r="D12" s="82">
        <f>IF(D13="Yes",IF(SUM($B$10:D10)/(SUM($B$6:D6)+SUM($B$9:D9))&lt;0,999.99,SUM($B$10:D10)/(SUM($B$6:D6)+SUM($B$9:D9))),"")</f>
        <v>0.09500550363462341</v>
      </c>
      <c r="E12" s="82">
        <f>IF(E13="Yes",IF(SUM($B$10:E10)/(SUM($B$6:E6)+SUM($B$9:E9))&lt;0,999.99,SUM($B$10:E10)/(SUM($B$6:E6)+SUM($B$9:E9))),"")</f>
        <v>0.1330729464441705</v>
      </c>
      <c r="F12" s="82">
        <f>IF(F13="Yes",IF(SUM($B$10:F10)/(SUM($B$6:F6)+SUM($B$9:F9))&lt;0,999.99,SUM($B$10:F10)/(SUM($B$6:F6)+SUM($B$9:F9))),"")</f>
        <v>0.1621113750456623</v>
      </c>
      <c r="G12" s="82">
        <f>IF(G13="Yes",IF(SUM($B$10:G10)/(SUM($B$6:G6)+SUM($B$9:G9))&lt;0,999.99,SUM($B$10:G10)/(SUM($B$6:G6)+SUM($B$9:G9))),"")</f>
        <v>0.1865340162721796</v>
      </c>
      <c r="H12" s="82">
        <f>IF(H13="Yes",IF(SUM($B$10:H10)/(SUM($B$6:H6)+SUM($B$9:H9))&lt;0,999.99,SUM($B$10:H10)/(SUM($B$6:H6)+SUM($B$9:H9))),"")</f>
        <v>0.2079574671173781</v>
      </c>
      <c r="I12" s="82">
        <f>IF(I13="Yes",IF(SUM($B$10:I10)/(SUM($B$6:I6)+SUM($B$9:I9))&lt;0,999.99,SUM($B$10:I10)/(SUM($B$6:I6)+SUM($B$9:I9))),"")</f>
        <v>0.2259345655212385</v>
      </c>
      <c r="J12" s="82">
        <f>IF(J13="Yes",IF(SUM($B$10:J10)/(SUM($B$6:J6)+SUM($B$9:J9))&lt;0,999.99,SUM($B$10:J10)/(SUM($B$6:J6)+SUM($B$9:J9))),"")</f>
        <v>0.2406429352128194</v>
      </c>
      <c r="K12" s="82">
        <f>IF(K13="Yes",IF(SUM($B$10:K10)/(SUM($B$6:K6)+SUM($B$9:K9))&lt;0,999.99,SUM($B$10:K10)/(SUM($B$6:K6)+SUM($B$9:K9))),"")</f>
        <v>0.2463754710217993</v>
      </c>
      <c r="L12" s="82">
        <f>IF(L13="Yes",IF(SUM($B$10:L10)/(SUM($B$6:L6)+SUM($B$9:L9))&lt;0,999.99,SUM($B$10:L10)/(SUM($B$6:L6)+SUM($B$9:L9))),"")</f>
        <v>0.2502364143271096</v>
      </c>
      <c r="M12" s="82">
        <f>IF(M13="Yes",IF(SUM($B$10:M10)/(SUM($B$6:M6)+SUM($B$9:M9))&lt;0,999.99,SUM($B$10:M10)/(SUM($B$6:M6)+SUM($B$9:M9))),"")</f>
        <v>0.2596546554626634</v>
      </c>
      <c r="N12" s="82">
        <f>IF(N13="Yes",IF(SUM($B$10:N10)/(SUM($B$6:N6)+SUM($B$9:N9))&lt;0,999.99,SUM($B$10:N10)/(SUM($B$6:N6)+SUM($B$9:N9))),"")</f>
        <v>0.268062288979094</v>
      </c>
      <c r="O12" s="82">
        <f>IF(O13="Yes",IF(SUM($B$10:O10)/(SUM($B$6:O6)+SUM($B$9:O9))&lt;0,999.99,SUM($B$10:O10)/(SUM($B$6:O6)+SUM($B$9:O9))),"")</f>
        <v>0.2756136943494846</v>
      </c>
      <c r="P12" s="82">
        <f>IF(P13="Yes",IF(SUM($B$10:P10)/(SUM($B$6:P6)+SUM($B$9:P9))&lt;0,999.99,SUM($B$10:P10)/(SUM($B$6:P6)+SUM($B$9:P9))),"")</f>
        <v>0.2824333307603357</v>
      </c>
      <c r="Q12" s="82">
        <f>IF(Q13="Yes",IF(SUM($B$10:Q10)/(SUM($B$6:Q6)+SUM($B$9:Q9))&lt;0,999.99,SUM($B$10:Q10)/(SUM($B$6:Q6)+SUM($B$9:Q9))),"")</f>
        <v>0.293761478054781</v>
      </c>
      <c r="R12" s="82">
        <f>IF(R13="Yes",IF(SUM($B$10:R10)/(SUM($B$6:R6)+SUM($B$9:R9))&lt;0,999.99,SUM($B$10:R10)/(SUM($B$6:R6)+SUM($B$9:R9))),"")</f>
        <v>0.3007959661511851</v>
      </c>
      <c r="S12" s="82">
        <f>IF(S13="Yes",IF(SUM($B$10:S10)/(SUM($B$6:S6)+SUM($B$9:S9))&lt;0,999.99,SUM($B$10:S10)/(SUM($B$6:S6)+SUM($B$9:S9))),"")</f>
        <v>0.3072886844469201</v>
      </c>
      <c r="T12" s="82">
        <f>IF(T13="Yes",IF(SUM($B$10:T10)/(SUM($B$6:T6)+SUM($B$9:T9))&lt;0,999.99,SUM($B$10:T10)/(SUM($B$6:T6)+SUM($B$9:T9))),"")</f>
        <v>0.3137535873282282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10635.71472499406</v>
      </c>
      <c r="K18" s="36">
        <f>W18</f>
        <v>12762.85766999287</v>
      </c>
      <c r="L18" s="36">
        <f>X18</f>
        <v>14890.00061499168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10635.71472499406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12762.85766999287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14890.00061499168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38288.5730099786</v>
      </c>
      <c r="AA18" s="36">
        <f>SUM(B18:M18)</f>
        <v>38288.5730099786</v>
      </c>
      <c r="AB18" s="36">
        <f>SUM(B18:Y18)</f>
        <v>76577.1460199572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12075</v>
      </c>
      <c r="C19" s="36">
        <f>O19</f>
        <v>12075</v>
      </c>
      <c r="D19" s="36">
        <f>P19</f>
        <v>12075</v>
      </c>
      <c r="E19" s="36">
        <f>Q19</f>
        <v>12075</v>
      </c>
      <c r="F19" s="36">
        <f>R19</f>
        <v>12075</v>
      </c>
      <c r="G19" s="36">
        <f>S19</f>
        <v>12075</v>
      </c>
      <c r="H19" s="36">
        <f>T19</f>
        <v>12075</v>
      </c>
      <c r="I19" s="36">
        <f>U19</f>
        <v>12075</v>
      </c>
      <c r="J19" s="36">
        <f>V19</f>
        <v>12075</v>
      </c>
      <c r="K19" s="36">
        <f>W19</f>
        <v>12075</v>
      </c>
      <c r="L19" s="36">
        <f>X19</f>
        <v>12075</v>
      </c>
      <c r="M19" s="36">
        <f>Y19</f>
        <v>12075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12075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12075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12075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12075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12075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12075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12075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12075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12075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12075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12075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12075</v>
      </c>
      <c r="Z19" s="36">
        <f>SUMIF($B$13:$Y$13,"Yes",B19:Y19)</f>
        <v>229425</v>
      </c>
      <c r="AA19" s="36">
        <f>SUM(B19:M19)</f>
        <v>144900</v>
      </c>
      <c r="AB19" s="36">
        <f>SUM(B19:Y19)</f>
        <v>289800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23532.8947368421</v>
      </c>
      <c r="C24" s="36">
        <f>IFERROR(Calculations!$P14/12,"")</f>
        <v>23532.8947368421</v>
      </c>
      <c r="D24" s="36">
        <f>IFERROR(Calculations!$P14/12,"")</f>
        <v>23532.8947368421</v>
      </c>
      <c r="E24" s="36">
        <f>IFERROR(Calculations!$P14/12,"")</f>
        <v>23532.8947368421</v>
      </c>
      <c r="F24" s="36">
        <f>IFERROR(Calculations!$P14/12,"")</f>
        <v>23532.8947368421</v>
      </c>
      <c r="G24" s="36">
        <f>IFERROR(Calculations!$P14/12,"")</f>
        <v>23532.8947368421</v>
      </c>
      <c r="H24" s="36">
        <f>IFERROR(Calculations!$P14/12,"")</f>
        <v>23532.8947368421</v>
      </c>
      <c r="I24" s="36">
        <f>IFERROR(Calculations!$P14/12,"")</f>
        <v>23532.8947368421</v>
      </c>
      <c r="J24" s="36">
        <f>IFERROR(Calculations!$P14/12,"")</f>
        <v>23532.8947368421</v>
      </c>
      <c r="K24" s="36">
        <f>IFERROR(Calculations!$P14/12,"")</f>
        <v>23532.8947368421</v>
      </c>
      <c r="L24" s="36">
        <f>IFERROR(Calculations!$P14/12,"")</f>
        <v>23532.8947368421</v>
      </c>
      <c r="M24" s="36">
        <f>IFERROR(Calculations!$P14/12,"")</f>
        <v>23532.8947368421</v>
      </c>
      <c r="N24" s="36">
        <f>IFERROR(Calculations!$P14/12,"")</f>
        <v>23532.8947368421</v>
      </c>
      <c r="O24" s="36">
        <f>IFERROR(Calculations!$P14/12,"")</f>
        <v>23532.8947368421</v>
      </c>
      <c r="P24" s="36">
        <f>IFERROR(Calculations!$P14/12,"")</f>
        <v>23532.8947368421</v>
      </c>
      <c r="Q24" s="36">
        <f>IFERROR(Calculations!$P14/12,"")</f>
        <v>23532.8947368421</v>
      </c>
      <c r="R24" s="36">
        <f>IFERROR(Calculations!$P14/12,"")</f>
        <v>23532.8947368421</v>
      </c>
      <c r="S24" s="36">
        <f>IFERROR(Calculations!$P14/12,"")</f>
        <v>23532.8947368421</v>
      </c>
      <c r="T24" s="36">
        <f>IFERROR(Calculations!$P14/12,"")</f>
        <v>23532.8947368421</v>
      </c>
      <c r="U24" s="36">
        <f>IFERROR(Calculations!$P14/12,"")</f>
        <v>23532.8947368421</v>
      </c>
      <c r="V24" s="36">
        <f>IFERROR(Calculations!$P14/12,"")</f>
        <v>23532.8947368421</v>
      </c>
      <c r="W24" s="36">
        <f>IFERROR(Calculations!$P14/12,"")</f>
        <v>23532.8947368421</v>
      </c>
      <c r="X24" s="36">
        <f>IFERROR(Calculations!$P14/12,"")</f>
        <v>23532.8947368421</v>
      </c>
      <c r="Y24" s="36">
        <f>IFERROR(Calculations!$P14/12,"")</f>
        <v>23532.8947368421</v>
      </c>
      <c r="Z24" s="36">
        <f>SUMIF($B$13:$Y$13,"Yes",B24:Y24)</f>
        <v>447124.9999999998</v>
      </c>
      <c r="AA24" s="36">
        <f>SUM(B24:M24)</f>
        <v>282394.7368421052</v>
      </c>
      <c r="AB24" s="46">
        <f>SUM(B24:Y24)</f>
        <v>564789.4736842102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532000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63607.89473684211</v>
      </c>
      <c r="C30" s="19">
        <f>SUM(C18:C29)</f>
        <v>63607.89473684211</v>
      </c>
      <c r="D30" s="19">
        <f>SUM(D18:D29)</f>
        <v>63607.89473684211</v>
      </c>
      <c r="E30" s="19">
        <f>SUM(E18:E29)</f>
        <v>63607.89473684211</v>
      </c>
      <c r="F30" s="19">
        <f>SUM(F18:F29)</f>
        <v>63607.89473684211</v>
      </c>
      <c r="G30" s="19">
        <f>SUM(G18:G29)</f>
        <v>63607.89473684211</v>
      </c>
      <c r="H30" s="19">
        <f>SUM(H18:H29)</f>
        <v>63607.89473684211</v>
      </c>
      <c r="I30" s="19">
        <f>SUM(I18:I29)</f>
        <v>63607.89473684211</v>
      </c>
      <c r="J30" s="19">
        <f>SUM(J18:J29)</f>
        <v>74243.60946183615</v>
      </c>
      <c r="K30" s="19">
        <f>SUM(K18:K29)</f>
        <v>76370.75240683497</v>
      </c>
      <c r="L30" s="19">
        <f>SUM(L18:L29)</f>
        <v>78497.89535183378</v>
      </c>
      <c r="M30" s="19">
        <f>SUM(M18:M29)</f>
        <v>63607.89473684211</v>
      </c>
      <c r="N30" s="19">
        <f>SUM(N18:N29)</f>
        <v>63607.89473684211</v>
      </c>
      <c r="O30" s="19">
        <f>SUM(O18:O29)</f>
        <v>63607.89473684211</v>
      </c>
      <c r="P30" s="19">
        <f>SUM(P18:P29)</f>
        <v>63607.89473684211</v>
      </c>
      <c r="Q30" s="19">
        <f>SUM(Q18:Q29)</f>
        <v>63607.89473684211</v>
      </c>
      <c r="R30" s="19">
        <f>SUM(R18:R29)</f>
        <v>63607.89473684211</v>
      </c>
      <c r="S30" s="19">
        <f>SUM(S18:S29)</f>
        <v>63607.89473684211</v>
      </c>
      <c r="T30" s="19">
        <f>SUM(T18:T29)</f>
        <v>63607.89473684211</v>
      </c>
      <c r="U30" s="19">
        <f>SUM(U18:U29)</f>
        <v>63607.89473684211</v>
      </c>
      <c r="V30" s="19">
        <f>SUM(V18:V29)</f>
        <v>74243.60946183615</v>
      </c>
      <c r="W30" s="19">
        <f>SUM(W18:W29)</f>
        <v>76370.75240683497</v>
      </c>
      <c r="X30" s="19">
        <f>SUM(X18:X29)</f>
        <v>78497.89535183378</v>
      </c>
      <c r="Y30" s="19">
        <f>SUM(Y18:Y29)</f>
        <v>63607.89473684211</v>
      </c>
      <c r="Z30" s="19">
        <f>SUMIF($B$13:$Y$13,"Yes",B30:Y30)</f>
        <v>1246838.573009979</v>
      </c>
      <c r="AA30" s="19">
        <f>SUM(B30:M30)</f>
        <v>801583.309852084</v>
      </c>
      <c r="AB30" s="19">
        <f>SUM(B30:Y30)</f>
        <v>1603166.619704167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8000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8000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1212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1212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1212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1212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8736.479952673688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8736.479952673688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8736.479952673688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8736.479952673688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8736.479952673688</v>
      </c>
      <c r="AA55" s="46">
        <f>SUM(B55:M55)</f>
        <v>8736.479952673688</v>
      </c>
      <c r="AB55" s="46">
        <f>SUM(B55:Y55)</f>
        <v>17472.95990534738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3920</v>
      </c>
      <c r="F66" s="36">
        <f>R66</f>
        <v>3920</v>
      </c>
      <c r="G66" s="36">
        <f>S66</f>
        <v>3920</v>
      </c>
      <c r="H66" s="36">
        <f>T66</f>
        <v>3920</v>
      </c>
      <c r="I66" s="36">
        <f>U66</f>
        <v>3920</v>
      </c>
      <c r="J66" s="36">
        <f>V66</f>
        <v>3920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3920</v>
      </c>
      <c r="R66" s="46">
        <f>SUM(R67:R71)</f>
        <v>3920</v>
      </c>
      <c r="S66" s="46">
        <f>SUM(S67:S71)</f>
        <v>3920</v>
      </c>
      <c r="T66" s="46">
        <f>SUM(T67:T71)</f>
        <v>3920</v>
      </c>
      <c r="U66" s="46">
        <f>SUM(U67:U71)</f>
        <v>3920</v>
      </c>
      <c r="V66" s="46">
        <f>SUM(V67:V71)</f>
        <v>3920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39199.99999999999</v>
      </c>
      <c r="AA66" s="46">
        <f>SUM(B66:M66)</f>
        <v>23520</v>
      </c>
      <c r="AB66" s="46">
        <f>SUM(B66:Y66)</f>
        <v>47039.99999999999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3920</v>
      </c>
      <c r="F67" s="36">
        <f>R67</f>
        <v>3920</v>
      </c>
      <c r="G67" s="36">
        <f>S67</f>
        <v>3920</v>
      </c>
      <c r="H67" s="36">
        <f>T67</f>
        <v>3920</v>
      </c>
      <c r="I67" s="36">
        <f>U67</f>
        <v>3920</v>
      </c>
      <c r="J67" s="36">
        <f>V67</f>
        <v>3920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3920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3920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3920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3920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3920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3920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39199.99999999999</v>
      </c>
      <c r="AA67" s="46">
        <f>SUM(B67:M67)</f>
        <v>23520</v>
      </c>
      <c r="AB67" s="46">
        <f>SUM(B67:Y67)</f>
        <v>47039.99999999999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43343.75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4750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28500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38000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22884.660996647</v>
      </c>
      <c r="C81" s="46">
        <f>(SUM($AA$18:$AA$29)-SUM($AA$36,$AA$42,$AA$48,$AA$54,$AA$60,$AA$66,$AA$72:$AA$79))*Parameters!$B$37/12</f>
        <v>22884.660996647</v>
      </c>
      <c r="D81" s="46">
        <f>(SUM($AA$18:$AA$29)-SUM($AA$36,$AA$42,$AA$48,$AA$54,$AA$60,$AA$66,$AA$72:$AA$79))*Parameters!$B$37/12</f>
        <v>22884.660996647</v>
      </c>
      <c r="E81" s="46">
        <f>(SUM($AA$18:$AA$29)-SUM($AA$36,$AA$42,$AA$48,$AA$54,$AA$60,$AA$66,$AA$72:$AA$79))*Parameters!$B$37/12</f>
        <v>22884.660996647</v>
      </c>
      <c r="F81" s="46">
        <f>(SUM($AA$18:$AA$29)-SUM($AA$36,$AA$42,$AA$48,$AA$54,$AA$60,$AA$66,$AA$72:$AA$79))*Parameters!$B$37/12</f>
        <v>22884.660996647</v>
      </c>
      <c r="G81" s="46">
        <f>(SUM($AA$18:$AA$29)-SUM($AA$36,$AA$42,$AA$48,$AA$54,$AA$60,$AA$66,$AA$72:$AA$79))*Parameters!$B$37/12</f>
        <v>22884.660996647</v>
      </c>
      <c r="H81" s="46">
        <f>(SUM($AA$18:$AA$29)-SUM($AA$36,$AA$42,$AA$48,$AA$54,$AA$60,$AA$66,$AA$72:$AA$79))*Parameters!$B$37/12</f>
        <v>22884.660996647</v>
      </c>
      <c r="I81" s="46">
        <f>(SUM($AA$18:$AA$29)-SUM($AA$36,$AA$42,$AA$48,$AA$54,$AA$60,$AA$66,$AA$72:$AA$79))*Parameters!$B$37/12</f>
        <v>22884.660996647</v>
      </c>
      <c r="J81" s="46">
        <f>(SUM($AA$18:$AA$29)-SUM($AA$36,$AA$42,$AA$48,$AA$54,$AA$60,$AA$66,$AA$72:$AA$79))*Parameters!$B$37/12</f>
        <v>22884.660996647</v>
      </c>
      <c r="K81" s="46">
        <f>(SUM($AA$18:$AA$29)-SUM($AA$36,$AA$42,$AA$48,$AA$54,$AA$60,$AA$66,$AA$72:$AA$79))*Parameters!$B$37/12</f>
        <v>22884.660996647</v>
      </c>
      <c r="L81" s="46">
        <f>(SUM($AA$18:$AA$29)-SUM($AA$36,$AA$42,$AA$48,$AA$54,$AA$60,$AA$66,$AA$72:$AA$79))*Parameters!$B$37/12</f>
        <v>22884.660996647</v>
      </c>
      <c r="M81" s="46">
        <f>(SUM($AA$18:$AA$29)-SUM($AA$36,$AA$42,$AA$48,$AA$54,$AA$60,$AA$66,$AA$72:$AA$79))*Parameters!$B$37/12</f>
        <v>22884.660996647</v>
      </c>
      <c r="N81" s="46">
        <f>(SUM($AA$18:$AA$29)-SUM($AA$36,$AA$42,$AA$48,$AA$54,$AA$60,$AA$66,$AA$72:$AA$79))*Parameters!$B$37/12</f>
        <v>22884.660996647</v>
      </c>
      <c r="O81" s="46">
        <f>(SUM($AA$18:$AA$29)-SUM($AA$36,$AA$42,$AA$48,$AA$54,$AA$60,$AA$66,$AA$72:$AA$79))*Parameters!$B$37/12</f>
        <v>22884.660996647</v>
      </c>
      <c r="P81" s="46">
        <f>(SUM($AA$18:$AA$29)-SUM($AA$36,$AA$42,$AA$48,$AA$54,$AA$60,$AA$66,$AA$72:$AA$79))*Parameters!$B$37/12</f>
        <v>22884.660996647</v>
      </c>
      <c r="Q81" s="46">
        <f>(SUM($AA$18:$AA$29)-SUM($AA$36,$AA$42,$AA$48,$AA$54,$AA$60,$AA$66,$AA$72:$AA$79))*Parameters!$B$37/12</f>
        <v>22884.660996647</v>
      </c>
      <c r="R81" s="46">
        <f>(SUM($AA$18:$AA$29)-SUM($AA$36,$AA$42,$AA$48,$AA$54,$AA$60,$AA$66,$AA$72:$AA$79))*Parameters!$B$37/12</f>
        <v>22884.660996647</v>
      </c>
      <c r="S81" s="46">
        <f>(SUM($AA$18:$AA$29)-SUM($AA$36,$AA$42,$AA$48,$AA$54,$AA$60,$AA$66,$AA$72:$AA$79))*Parameters!$B$37/12</f>
        <v>22884.660996647</v>
      </c>
      <c r="T81" s="46">
        <f>(SUM($AA$18:$AA$29)-SUM($AA$36,$AA$42,$AA$48,$AA$54,$AA$60,$AA$66,$AA$72:$AA$79))*Parameters!$B$37/12</f>
        <v>22884.660996647</v>
      </c>
      <c r="U81" s="46">
        <f>(SUM($AA$18:$AA$29)-SUM($AA$36,$AA$42,$AA$48,$AA$54,$AA$60,$AA$66,$AA$72:$AA$79))*Parameters!$B$37/12</f>
        <v>22884.660996647</v>
      </c>
      <c r="V81" s="46">
        <f>(SUM($AA$18:$AA$29)-SUM($AA$36,$AA$42,$AA$48,$AA$54,$AA$60,$AA$66,$AA$72:$AA$79))*Parameters!$B$37/12</f>
        <v>22884.660996647</v>
      </c>
      <c r="W81" s="46">
        <f>(SUM($AA$18:$AA$29)-SUM($AA$36,$AA$42,$AA$48,$AA$54,$AA$60,$AA$66,$AA$72:$AA$79))*Parameters!$B$37/12</f>
        <v>22884.660996647</v>
      </c>
      <c r="X81" s="46">
        <f>(SUM($AA$18:$AA$29)-SUM($AA$36,$AA$42,$AA$48,$AA$54,$AA$60,$AA$66,$AA$72:$AA$79))*Parameters!$B$37/12</f>
        <v>22884.660996647</v>
      </c>
      <c r="Y81" s="46">
        <f>(SUM($AA$18:$AA$29)-SUM($AA$36,$AA$42,$AA$48,$AA$54,$AA$60,$AA$66,$AA$72:$AA$79))*Parameters!$B$37/12</f>
        <v>22884.660996647</v>
      </c>
      <c r="Z81" s="46">
        <f>SUMIF($B$13:$Y$13,"Yes",B81:Y81)</f>
        <v>434808.5589362932</v>
      </c>
      <c r="AA81" s="46">
        <f>SUM(B81:M81)</f>
        <v>274615.931959764</v>
      </c>
      <c r="AB81" s="46">
        <f>SUM(B81:Y81)</f>
        <v>549231.8639195283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28915.910996647</v>
      </c>
      <c r="C88" s="19">
        <f>SUM(C72:C82,C66,C60,C54,C48,C42,C36)</f>
        <v>28915.910996647</v>
      </c>
      <c r="D88" s="19">
        <f>SUM(D72:D82,D66,D60,D54,D48,D42,D36)</f>
        <v>28915.910996647</v>
      </c>
      <c r="E88" s="19">
        <f>SUM(E72:E82,E66,E60,E54,E48,E42,E36)</f>
        <v>42047.910996647</v>
      </c>
      <c r="F88" s="19">
        <f>SUM(F72:F82,F66,F60,F54,F48,F42,F36)</f>
        <v>32835.910996647</v>
      </c>
      <c r="G88" s="19">
        <f>SUM(G72:G82,G66,G60,G54,G48,G42,G36)</f>
        <v>32835.910996647</v>
      </c>
      <c r="H88" s="19">
        <f>SUM(H72:H82,H66,H60,H54,H48,H42,H36)</f>
        <v>34035.910996647</v>
      </c>
      <c r="I88" s="19">
        <f>SUM(I72:I82,I66,I60,I54,I48,I42,I36)</f>
        <v>32835.910996647</v>
      </c>
      <c r="J88" s="19">
        <f>SUM(J72:J82,J66,J60,J54,J48,J42,J36)</f>
        <v>41572.39094932069</v>
      </c>
      <c r="K88" s="19">
        <f>SUM(K72:K82,K66,K60,K54,K48,K42,K36)</f>
        <v>28915.910996647</v>
      </c>
      <c r="L88" s="19">
        <f>SUM(L72:L82,L66,L60,L54,L48,L42,L36)</f>
        <v>28915.910996647</v>
      </c>
      <c r="M88" s="19">
        <f>SUM(M72:M82,M66,M60,M54,M48,M42,M36)</f>
        <v>28915.910996647</v>
      </c>
      <c r="N88" s="19">
        <f>SUM(N72:N82,N66,N60,N54,N48,N42,N36)</f>
        <v>28915.910996647</v>
      </c>
      <c r="O88" s="19">
        <f>SUM(O72:O82,O66,O60,O54,O48,O42,O36)</f>
        <v>28915.910996647</v>
      </c>
      <c r="P88" s="19">
        <f>SUM(P72:P82,P66,P60,P54,P48,P42,P36)</f>
        <v>28915.910996647</v>
      </c>
      <c r="Q88" s="19">
        <f>SUM(Q72:Q82,Q66,Q60,Q54,Q48,Q42,Q36)</f>
        <v>42047.910996647</v>
      </c>
      <c r="R88" s="19">
        <f>SUM(R72:R82,R66,R60,R54,R48,R42,R36)</f>
        <v>32835.910996647</v>
      </c>
      <c r="S88" s="19">
        <f>SUM(S72:S82,S66,S60,S54,S48,S42,S36)</f>
        <v>32835.910996647</v>
      </c>
      <c r="T88" s="19">
        <f>SUM(T72:T82,T66,T60,T54,T48,T42,T36)</f>
        <v>34035.910996647</v>
      </c>
      <c r="U88" s="19">
        <f>SUM(U72:U82,U66,U60,U54,U48,U42,U36)</f>
        <v>32835.910996647</v>
      </c>
      <c r="V88" s="19">
        <f>SUM(V72:V82,V66,V60,V54,V48,V42,V36)</f>
        <v>41572.39094932069</v>
      </c>
      <c r="W88" s="19">
        <f>SUM(W72:W82,W66,W60,W54,W48,W42,W36)</f>
        <v>28915.910996647</v>
      </c>
      <c r="X88" s="19">
        <f>SUM(X72:X82,X66,X60,X54,X48,X42,X36)</f>
        <v>28915.910996647</v>
      </c>
      <c r="Y88" s="19">
        <f>SUM(Y72:Y82,Y66,Y60,Y54,Y48,Y42,Y36)</f>
        <v>28915.910996647</v>
      </c>
      <c r="Z88" s="19">
        <f>SUMIF($B$13:$Y$13,"Yes",B88:Y88)</f>
        <v>618162.7888889668</v>
      </c>
      <c r="AA88" s="19">
        <f>SUM(B88:M88)</f>
        <v>389659.4119124378</v>
      </c>
      <c r="AB88" s="19">
        <f>SUM(B88:Y88)</f>
        <v>779318.8238248754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38000</v>
      </c>
    </row>
    <row r="95" spans="1:30">
      <c r="A95" t="s">
        <v>61</v>
      </c>
      <c r="B95" s="36">
        <f>Inputs!B47</f>
        <v>320000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15000000</v>
      </c>
    </row>
    <row r="98" spans="1:30">
      <c r="A98" t="s">
        <v>64</v>
      </c>
      <c r="B98" s="36">
        <f>IF(Inputs!B44="Yes",Inputs!B45,0)</f>
        <v>650000</v>
      </c>
    </row>
    <row r="99" spans="1:30">
      <c r="A99" t="s">
        <v>65</v>
      </c>
      <c r="B99" s="36">
        <f>Inputs!B46</f>
        <v>245000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17103000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2</v>
      </c>
      <c r="P7" s="41"/>
    </row>
    <row r="8" spans="1:48">
      <c r="A8" s="143" t="s">
        <v>95</v>
      </c>
      <c r="B8" s="16"/>
      <c r="C8" s="143">
        <v>0.5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40</v>
      </c>
      <c r="N8" s="154">
        <v>0</v>
      </c>
    </row>
    <row r="9" spans="1:48">
      <c r="A9" s="143" t="s">
        <v>97</v>
      </c>
      <c r="B9" s="16"/>
      <c r="C9" s="143">
        <v>0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99</v>
      </c>
      <c r="J9" s="148" t="s">
        <v>96</v>
      </c>
      <c r="K9" s="138"/>
      <c r="L9" s="16"/>
      <c r="M9" s="165">
        <v>100</v>
      </c>
      <c r="N9" s="154">
        <v>0</v>
      </c>
    </row>
    <row r="10" spans="1:48">
      <c r="A10" s="143" t="s">
        <v>97</v>
      </c>
      <c r="B10" s="16"/>
      <c r="C10" s="143">
        <v>0</v>
      </c>
      <c r="D10" s="16">
        <v>0</v>
      </c>
      <c r="E10" s="147" t="s">
        <v>98</v>
      </c>
      <c r="F10" s="149" t="s">
        <v>91</v>
      </c>
      <c r="G10" s="147"/>
      <c r="H10" s="147" t="s">
        <v>92</v>
      </c>
      <c r="I10" s="147" t="s">
        <v>99</v>
      </c>
      <c r="J10" s="148" t="s">
        <v>96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97</v>
      </c>
      <c r="B11" s="23"/>
      <c r="C11" s="144">
        <v>0</v>
      </c>
      <c r="D11" s="23"/>
      <c r="E11" s="150" t="s">
        <v>98</v>
      </c>
      <c r="F11" s="151" t="s">
        <v>91</v>
      </c>
      <c r="G11" s="150"/>
      <c r="H11" s="150" t="s">
        <v>92</v>
      </c>
      <c r="I11" s="150" t="s">
        <v>99</v>
      </c>
      <c r="J11" s="152" t="s">
        <v>96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115</v>
      </c>
      <c r="J19" s="145">
        <v>30</v>
      </c>
      <c r="K19" s="145"/>
      <c r="L19" s="25"/>
    </row>
    <row r="20" spans="1:48">
      <c r="A20" s="143" t="s">
        <v>116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116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115</v>
      </c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30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28000</v>
      </c>
    </row>
    <row r="31" spans="1:48">
      <c r="A31" s="5" t="s">
        <v>123</v>
      </c>
      <c r="B31" s="158">
        <v>2000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>
        <v>0</v>
      </c>
      <c r="C35" s="145" t="s">
        <v>129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129</v>
      </c>
      <c r="D36" s="49">
        <f>IFERROR(VLOOKUP(C36,Parameters!$C$79:$D$90,2,0),"")</f>
        <v>12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650000</v>
      </c>
    </row>
    <row r="46" spans="1:48" customHeight="1" ht="30">
      <c r="A46" s="57" t="s">
        <v>138</v>
      </c>
      <c r="B46" s="161">
        <v>245000</v>
      </c>
    </row>
    <row r="47" spans="1:48" customHeight="1" ht="30">
      <c r="A47" s="57" t="s">
        <v>139</v>
      </c>
      <c r="B47" s="161">
        <v>320000</v>
      </c>
    </row>
    <row r="48" spans="1:48" customHeight="1" ht="30">
      <c r="A48" s="57" t="s">
        <v>140</v>
      </c>
      <c r="B48" s="161">
        <v>250000</v>
      </c>
    </row>
    <row r="49" spans="1:48" customHeight="1" ht="30">
      <c r="A49" s="57" t="s">
        <v>141</v>
      </c>
      <c r="B49" s="161">
        <v>38000</v>
      </c>
    </row>
    <row r="50" spans="1:48">
      <c r="A50" s="43"/>
      <c r="B50" s="36"/>
    </row>
    <row r="51" spans="1:48">
      <c r="A51" s="58" t="s">
        <v>142</v>
      </c>
      <c r="B51" s="161">
        <v>2500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6000</v>
      </c>
      <c r="B56" s="159">
        <v>0</v>
      </c>
      <c r="C56" s="162" t="s">
        <v>150</v>
      </c>
      <c r="D56" s="163" t="s">
        <v>151</v>
      </c>
      <c r="E56" s="163" t="s">
        <v>92</v>
      </c>
      <c r="F56" s="163" t="s">
        <v>152</v>
      </c>
    </row>
    <row r="57" spans="1:48">
      <c r="A57" s="157">
        <v>6000</v>
      </c>
      <c r="B57" s="157">
        <v>0</v>
      </c>
      <c r="C57" s="164" t="s">
        <v>153</v>
      </c>
      <c r="D57" s="165" t="s">
        <v>151</v>
      </c>
      <c r="E57" s="165" t="s">
        <v>92</v>
      </c>
      <c r="F57" s="165" t="s">
        <v>152</v>
      </c>
    </row>
    <row r="58" spans="1:48">
      <c r="A58" s="157">
        <v>6000</v>
      </c>
      <c r="B58" s="157">
        <v>0</v>
      </c>
      <c r="C58" s="164" t="s">
        <v>154</v>
      </c>
      <c r="D58" s="165" t="s">
        <v>151</v>
      </c>
      <c r="E58" s="165" t="s">
        <v>92</v>
      </c>
      <c r="F58" s="165" t="s">
        <v>152</v>
      </c>
    </row>
    <row r="59" spans="1:48">
      <c r="A59" s="157">
        <v>6000</v>
      </c>
      <c r="B59" s="157">
        <v>0</v>
      </c>
      <c r="C59" s="164" t="s">
        <v>155</v>
      </c>
      <c r="D59" s="165" t="s">
        <v>151</v>
      </c>
      <c r="E59" s="165" t="s">
        <v>92</v>
      </c>
      <c r="F59" s="165" t="s">
        <v>152</v>
      </c>
    </row>
    <row r="60" spans="1:48">
      <c r="A60" s="158">
        <v>0</v>
      </c>
      <c r="B60" s="158">
        <v>0</v>
      </c>
      <c r="C60" s="166" t="s">
        <v>156</v>
      </c>
      <c r="D60" s="167"/>
      <c r="E60" s="167" t="s">
        <v>92</v>
      </c>
      <c r="F60" s="167"/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158</v>
      </c>
      <c r="C65" s="10" t="s">
        <v>159</v>
      </c>
    </row>
    <row r="66" spans="1:48">
      <c r="A66" s="142" t="s">
        <v>160</v>
      </c>
      <c r="B66" s="159">
        <v>39615</v>
      </c>
      <c r="C66" s="163">
        <v>34710</v>
      </c>
      <c r="D66" s="49">
        <f>INDEX(Parameters!$D$79:$D$90,MATCH(Inputs!A66,Parameters!$C$79:$C$90,0))</f>
        <v>5</v>
      </c>
    </row>
    <row r="67" spans="1:48">
      <c r="A67" s="143" t="s">
        <v>161</v>
      </c>
      <c r="B67" s="157">
        <v>40460</v>
      </c>
      <c r="C67" s="165">
        <v>42025</v>
      </c>
      <c r="D67" s="49">
        <f>INDEX(Parameters!$D$79:$D$90,MATCH(Inputs!A67,Parameters!$C$79:$C$90,0))</f>
        <v>4</v>
      </c>
    </row>
    <row r="68" spans="1:48">
      <c r="A68" s="143" t="s">
        <v>162</v>
      </c>
      <c r="B68" s="157">
        <v>93288</v>
      </c>
      <c r="C68" s="165">
        <v>87710</v>
      </c>
      <c r="D68" s="49">
        <f>INDEX(Parameters!$D$79:$D$90,MATCH(Inputs!A68,Parameters!$C$79:$C$90,0))</f>
        <v>3</v>
      </c>
    </row>
    <row r="69" spans="1:48">
      <c r="A69" s="143" t="s">
        <v>163</v>
      </c>
      <c r="B69" s="157">
        <v>22080</v>
      </c>
      <c r="C69" s="165">
        <v>21090</v>
      </c>
      <c r="D69" s="49">
        <f>INDEX(Parameters!$D$79:$D$90,MATCH(Inputs!A69,Parameters!$C$79:$C$90,0))</f>
        <v>2</v>
      </c>
    </row>
    <row r="70" spans="1:48">
      <c r="A70" s="143" t="s">
        <v>164</v>
      </c>
      <c r="B70" s="157">
        <v>38920</v>
      </c>
      <c r="C70" s="165">
        <v>36810</v>
      </c>
      <c r="D70" s="49">
        <f>INDEX(Parameters!$D$79:$D$90,MATCH(Inputs!A70,Parameters!$C$79:$C$90,0))</f>
        <v>1</v>
      </c>
    </row>
    <row r="71" spans="1:48">
      <c r="A71" s="144" t="s">
        <v>129</v>
      </c>
      <c r="B71" s="158">
        <v>46807</v>
      </c>
      <c r="C71" s="167">
        <v>44390</v>
      </c>
      <c r="D71" s="49">
        <f>INDEX(Parameters!$D$79:$D$90,MATCH(Inputs!A71,Parameters!$C$79:$C$90,0))</f>
        <v>12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7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200000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18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31907.14417498217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4368.239976336844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0.5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5750</v>
      </c>
      <c r="N5" s="22">
        <f>Calculations!U5</f>
        <v>0.4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144900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4375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282394.7368421052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6000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6000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6000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42924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42917</v>
      </c>
      <c r="F33" t="s">
        <v>170</v>
      </c>
      <c r="G33" s="128">
        <f>IF(Inputs!B79="","",DATE(YEAR(Inputs!B79),MONTH(Inputs!B79),DAY(Inputs!B79)))</f>
        <v>42894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42955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42948</v>
      </c>
      <c r="F34" t="s">
        <v>171</v>
      </c>
      <c r="G34" s="128">
        <f>IF(Inputs!B80="","",DATE(YEAR(Inputs!B80),MONTH(Inputs!B80),DAY(Inputs!B80)))</f>
        <v>42924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42986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42979</v>
      </c>
      <c r="F35" t="s">
        <v>173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43016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43009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43047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43040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43077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43070</v>
      </c>
      <c r="F38" t="s">
        <v>236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43108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43101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43139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43132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43167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43160</v>
      </c>
      <c r="F41" t="s">
        <v>237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43198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43191</v>
      </c>
      <c r="F42" t="s">
        <v>238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43228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43259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43289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43320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43351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43381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43412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43442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211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116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116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321</v>
      </c>
      <c r="H52" s="12" t="s">
        <v>322</v>
      </c>
      <c r="I52" s="12" t="s">
        <v>135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239</v>
      </c>
      <c r="E53" s="10" t="s">
        <v>198</v>
      </c>
      <c r="F53" s="10" t="s">
        <v>258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176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235</v>
      </c>
      <c r="J76" s="11" t="s">
        <v>355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93</v>
      </c>
      <c r="F77" s="12" t="s">
        <v>93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360</v>
      </c>
      <c r="F78" s="12" t="s">
        <v>361</v>
      </c>
      <c r="G78" s="12" t="s">
        <v>115</v>
      </c>
      <c r="H78" s="12" t="s">
        <v>135</v>
      </c>
      <c r="I78" s="12" t="s">
        <v>362</v>
      </c>
      <c r="J78" s="70" t="s">
        <v>363</v>
      </c>
      <c r="K78" s="12" t="s">
        <v>93</v>
      </c>
      <c r="AJ78" s="12"/>
    </row>
    <row r="79" spans="1:36">
      <c r="B79" s="176">
        <v>10</v>
      </c>
      <c r="C79" s="12" t="s">
        <v>164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176</v>
      </c>
      <c r="J79" s="70" t="s">
        <v>367</v>
      </c>
      <c r="K79" s="12" t="s">
        <v>93</v>
      </c>
      <c r="AJ79" s="12"/>
    </row>
    <row r="80" spans="1:36">
      <c r="B80" s="176">
        <v>20</v>
      </c>
      <c r="C80" s="12" t="s">
        <v>163</v>
      </c>
      <c r="D80" s="12">
        <f>D79+1</f>
        <v>2</v>
      </c>
      <c r="E80" s="12" t="s">
        <v>91</v>
      </c>
      <c r="F80" s="12" t="s">
        <v>99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162</v>
      </c>
      <c r="D81" s="12">
        <f>D80+1</f>
        <v>3</v>
      </c>
      <c r="J81" s="70" t="s">
        <v>98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129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