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<sst xmlns="http://schemas.openxmlformats.org/spreadsheetml/2006/main" uniqueCount="375">
  <si>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</si>
  <si>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</si>
  <si>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</si>
  <si>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</si>
  <si>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</si>
  <si>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</si>
  <si>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</si>
  <si>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</si>
  <si>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</si>
  <si>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</si>
  <si>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</si>
  <si>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</si>
  <si>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</si>
  <si>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</si>
  <si>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</si>
  <si>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</si>
  <si>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</si>
  <si>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</si>
  <si>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</si>
  <si>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</si>
  <si>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</si>
  <si>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</si>
  <si>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</si>
  <si>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</si>
  <si>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</si>
  <si>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</si>
  <si>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</si>
  <si>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</si>
  <si>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</si>
  <si>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</si>
  <si>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</si>
  <si>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</si>
  <si>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</si>
  <si>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</si>
  <si>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</si>
  <si>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</si>
  <si>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</si>
  <si>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</si>
  <si>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</si>
  <si>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</si>
  <si>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</si>
  <si>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</si>
  <si>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</si>
  <si>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</si>
  <si>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</si>
  <si>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</si>
  <si>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</si>
  <si>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</si>
  <si>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</si>
  <si>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</si>
  <si>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</si>
  <si>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</si>
  <si>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</si>
  <si>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</si>
  <si>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</si>
  <si>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</si>
  <si>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</si>
  <si>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</si>
  <si>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</si>
  <si>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</si>
  <si>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</si>
  <si>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</si>
  <si>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</si>
  <si>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</si>
  <si>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</si>
  <si>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</si>
  <si>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</si>
  <si>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</si>
  <si>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</si>
  <si>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</si>
  <si>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</si>
  <si>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</si>
  <si>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</si>
  <si>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</si>
  <si>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</si>
  <si>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</si>
  <si>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</si>
  <si>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</si>
  <si>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</si>
  <si>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</si>
  <si>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</si>
  <si>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</si>
  <si>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</si>
  <si>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</si>
  <si>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</si>
  <si>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</si>
  <si>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</si>
  <si>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</si>
  <si>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</si>
  <si>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</si>
  <si>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</si>
  <si>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</si>
  <si>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</si>
  <si>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</si>
  <si>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July</t>
  </si>
  <si>
    <t>Potatoes</t>
  </si>
  <si>
    <t>Yes without the use of a pump</t>
  </si>
  <si>
    <t>every month</t>
  </si>
  <si>
    <t>Cabbages</t>
  </si>
  <si>
    <t>Yes Inorganic fertizers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</si>
  <si>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</si>
  <si>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</si>
  <si>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</si>
  <si>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</si>
  <si>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</si>
  <si>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</si>
  <si>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</si>
  <si>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</si>
  <si>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</si>
  <si>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</si>
  <si>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</si>
  <si>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</si>
  <si>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</si>
  <si>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</si>
  <si>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</si>
  <si>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</si>
  <si>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</si>
  <si>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</si>
  <si>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</si>
  <si>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</si>
  <si>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</si>
  <si>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</si>
  <si>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</si>
  <si>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</si>
  <si>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Boda Boda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</si>
  <si>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</si>
  <si>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</si>
  <si>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</si>
  <si>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</si>
  <si>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</si>
  <si>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</si>
  <si>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</si>
  <si>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house </t>
  </si>
  <si>
    <t>October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</si>
  <si>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</si>
  <si>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</si>
  <si>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</si>
  <si>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</si>
  <si>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</si>
  <si>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</si>
  <si>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</si>
  <si>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</si>
  <si>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</si>
  <si>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</si>
  <si>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</si>
  <si>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</si>
  <si>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</si>
  <si>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</si>
  <si>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</si>
  <si>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</si>
  <si>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</si>
  <si>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</si>
  <si>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</si>
  <si>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</si>
  <si>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</si>
  <si>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10/12/2016</t>
  </si>
  <si>
    <t xml:space="preserve">Musoni </t>
  </si>
  <si>
    <t xml:space="preserve">cleared </t>
  </si>
  <si>
    <t>11/27/2015</t>
  </si>
  <si>
    <t xml:space="preserve">musoni </t>
  </si>
  <si>
    <t>3/25/2015</t>
  </si>
  <si>
    <t>6/13/2017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</si>
  <si>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</si>
  <si>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</si>
  <si>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</si>
  <si>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</si>
  <si>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</si>
  <si>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</si>
  <si>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</si>
  <si>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</si>
  <si>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</si>
  <si>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</si>
  <si>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</si>
  <si>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2017/6/13</t>
  </si>
  <si>
    <t>Loan terms</t>
  </si>
  <si>
    <t>Expected disbursement date</t>
  </si>
  <si>
    <t>Expected first repayment date</t>
  </si>
  <si>
    <t>2017/6/17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</si>
  <si>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</si>
  <si>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</si>
  <si>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</si>
  <si>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</si>
  <si>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</si>
  <si>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</si>
  <si>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</si>
  <si>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</si>
  <si>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</si>
  <si>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</si>
  <si>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</si>
  <si>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</si>
  <si>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</si>
  <si>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</si>
  <si>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</si>
  <si>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</si>
  <si>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</si>
  <si>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</si>
  <si>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</si>
  <si>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</si>
  <si>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</si>
  <si>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</si>
  <si>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</si>
  <si>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</si>
  <si>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</si>
  <si>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</si>
  <si>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</si>
  <si>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</si>
  <si>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</si>
  <si>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</si>
  <si>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</si>
  <si>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</si>
  <si>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</si>
  <si>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</si>
  <si>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</si>
  <si>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</si>
  <si>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</si>
  <si>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</si>
  <si>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</si>
  <si>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</si>
  <si>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</si>
  <si>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</si>
  <si>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</si>
  <si>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</si>
  <si>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</si>
  <si>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</si>
  <si>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</si>
  <si>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</si>
  <si>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</si>
  <si>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</si>
  <si>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</si>
  <si>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</si>
  <si>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</si>
  <si>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</si>
  <si>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</si>
  <si>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</si>
  <si>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</si>
  <si>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</si>
  <si>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</si>
  <si>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</si>
  <si>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</si>
  <si>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</si>
  <si>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</si>
  <si>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</si>
  <si>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</si>
  <si>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</si>
  <si>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</si>
  <si>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</si>
  <si>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</si>
  <si>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</si>
  <si>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</si>
  <si>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</si>
  <si>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</si>
  <si>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</si>
  <si>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</si>
  <si>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</si>
  <si>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</si>
  <si>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</si>
  <si>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</si>
  <si>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</si>
  <si>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</si>
  <si>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</si>
  <si>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</si>
  <si>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</si>
  <si>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</si>
  <si>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</si>
  <si>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</si>
  <si>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</si>
  <si>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</si>
  <si>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</si>
  <si>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</si>
  <si>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</si>
  <si>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</si>
  <si>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</si>
  <si>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</si>
  <si>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</si>
  <si>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</si>
  <si>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</si>
  <si>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</si>
  <si>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</si>
  <si>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</si>
  <si>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</si>
  <si>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</si>
  <si>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</si>
  <si>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</si>
  <si>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</si>
  <si>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</si>
  <si>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</si>
  <si>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</si>
  <si>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</si>
  <si>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</si>
  <si>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</si>
  <si>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</si>
  <si>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</si>
  <si>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</si>
  <si>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</si>
  <si>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</si>
  <si>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</si>
  <si>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</si>
  <si>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</si>
  <si>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</si>
  <si>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</si>
  <si>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</si>
  <si>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</si>
  <si>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</si>
  <si>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</si>
  <si>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</si>
  <si>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</si>
  <si>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</si>
  <si>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</si>
  <si>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</si>
  <si>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</si>
  <si>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</si>
  <si>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</si>
  <si>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</si>
  <si>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</si>
  <si>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</si>
  <si>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</si>
  <si>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</si>
  <si>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</si>
  <si>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</si>
  <si>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</si>
  <si>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</si>
  <si>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</si>
  <si>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</si>
  <si>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</si>
  <si>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</si>
  <si>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</si>
  <si>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</si>
  <si>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</si>
  <si>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</si>
  <si>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</si>
  <si>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</si>
  <si>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</si>
  <si>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</si>
  <si>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</si>
  <si>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</si>
  <si>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</si>
  <si>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</si>
  <si>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</si>
  <si>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</si>
  <si>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</si>
  <si>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</si>
  <si>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</si>
  <si>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</si>
  <si>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</si>
  <si>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</si>
  <si>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</si>
  <si>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</si>
  <si>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</si>
  <si>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</si>
  <si>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</si>
  <si>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</si>
  <si>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</si>
  <si>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</si>
  <si>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</si>
  <si>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</si>
  <si>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</si>
  <si>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</si>
  <si>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</si>
  <si>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</si>
  <si>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</si>
  <si>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</si>
  <si>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</si>
  <si>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</si>
  <si>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</si>
  <si>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</si>
  <si>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</si>
  <si>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</si>
  <si>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</si>
  <si>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</si>
  <si>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</si>
  <si>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</si>
  <si>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June</t>
  </si>
  <si>
    <t>August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</si>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</sst>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Potatoes,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Chicken_broilers, Chicken: sale of ex layers</v>
      </c>
    </row>
    <row r="8" spans="1:7">
      <c r="B8" s="1" t="s">
        <v>4</v>
      </c>
      <c r="C8" t="str">
        <f>IF(Inputs!B29="","None",Inputs!B29)</f>
        <v>Boda Boda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0.3232909724632611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0.02787682333873582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11958.33333333333</v>
      </c>
    </row>
    <row r="17" spans="1:7">
      <c r="B17" s="1" t="s">
        <v>11</v>
      </c>
      <c r="C17" s="36">
        <f>SUM(Output!B6:M6)</f>
        <v>294497.5860689087</v>
      </c>
    </row>
    <row r="18" spans="1:7">
      <c r="B18" s="1" t="s">
        <v>12</v>
      </c>
      <c r="C18" s="36">
        <f>MIN(Output!B6:M6)</f>
        <v>-7377.053862641958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168040.0623476641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61000</v>
      </c>
    </row>
    <row r="25" spans="1:7">
      <c r="B25" s="1" t="s">
        <v>18</v>
      </c>
      <c r="C25" s="36">
        <f>MAX(Inputs!A56:A60)</f>
        <v>110000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7547.946137358042</v>
      </c>
      <c r="C6" s="51">
        <f>C30-C88</f>
        <v>-3433.053862641958</v>
      </c>
      <c r="D6" s="51">
        <f>D30-D88</f>
        <v>-77.0538626419584</v>
      </c>
      <c r="E6" s="51">
        <f>E30-E88</f>
        <v>-7377.053862641958</v>
      </c>
      <c r="F6" s="51">
        <f>F30-F88</f>
        <v>118040.0623476641</v>
      </c>
      <c r="G6" s="51">
        <f>G30-G88</f>
        <v>7547.946137358042</v>
      </c>
      <c r="H6" s="51">
        <f>H30-H88</f>
        <v>7547.946137358042</v>
      </c>
      <c r="I6" s="51">
        <f>I30-I88</f>
        <v>-3433.053862641958</v>
      </c>
      <c r="J6" s="51">
        <f>J30-J88</f>
        <v>-77.0538626419584</v>
      </c>
      <c r="K6" s="51">
        <f>K30-K88</f>
        <v>-7377.053862641958</v>
      </c>
      <c r="L6" s="51">
        <f>L30-L88</f>
        <v>168040.0623476641</v>
      </c>
      <c r="M6" s="51">
        <f>M30-M88</f>
        <v>7547.946137358042</v>
      </c>
      <c r="N6" s="51">
        <f>N30-N88</f>
        <v>7547.946137358042</v>
      </c>
      <c r="O6" s="51">
        <f>O30-O88</f>
        <v>-3433.053862641958</v>
      </c>
      <c r="P6" s="51">
        <f>P30-P88</f>
        <v>-77.0538626419584</v>
      </c>
      <c r="Q6" s="51">
        <f>Q30-Q88</f>
        <v>-7377.053862641958</v>
      </c>
      <c r="R6" s="51">
        <f>R30-R88</f>
        <v>168040.0623476641</v>
      </c>
      <c r="S6" s="51">
        <f>S30-S88</f>
        <v>51297.94613735804</v>
      </c>
      <c r="T6" s="51">
        <f>T30-T88</f>
        <v>7547.946137358042</v>
      </c>
      <c r="U6" s="51">
        <f>U30-U88</f>
        <v>-3433.053862641958</v>
      </c>
      <c r="V6" s="51">
        <f>V30-V88</f>
        <v>-77.0538626419584</v>
      </c>
      <c r="W6" s="51">
        <f>W30-W88</f>
        <v>-7377.053862641958</v>
      </c>
      <c r="X6" s="51">
        <f>X30-X88</f>
        <v>168040.0623476641</v>
      </c>
      <c r="Y6" s="51">
        <f>Y30-Y88</f>
        <v>7547.946137358042</v>
      </c>
      <c r="Z6" s="51">
        <f>SUMIF($B$13:$Y$13,"Yes",B6:Y6)</f>
        <v>682745.1721378173</v>
      </c>
      <c r="AA6" s="51">
        <f>AA30-AA88</f>
        <v>294497.5860689086</v>
      </c>
      <c r="AB6" s="51">
        <f>AB30-AB88</f>
        <v>682745.1721378176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</v>
      </c>
      <c r="I7" s="80">
        <f>IF(ISERROR(VLOOKUP(MONTH(I5),Inputs!$D$66:$D$71,1,0)),"",INDEX(Inputs!$B$66:$B$71,MATCH(MONTH(Output!I5),Inputs!$D$66:$D$71,0))-INDEX(Inputs!$C$66:$C$71,MATCH(MONTH(Output!I5),Inputs!$D$66:$D$71,0)))</f>
        <v>100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103</v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>
        <f>IF(ISERROR(VLOOKUP(MONTH(M5),Inputs!$D$66:$D$71,1,0)),"",INDEX(Inputs!$B$66:$B$71,MATCH(MONTH(Output!M5),Inputs!$D$66:$D$71,0))-INDEX(Inputs!$C$66:$C$71,MATCH(MONTH(Output!M5),Inputs!$D$66:$D$71,0)))</f>
        <v>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</v>
      </c>
      <c r="U7" s="80">
        <f>IF(ISERROR(VLOOKUP(MONTH(U5),Inputs!$D$66:$D$71,1,0)),"",INDEX(Inputs!$B$66:$B$71,MATCH(MONTH(Output!U5),Inputs!$D$66:$D$71,0))-INDEX(Inputs!$C$66:$C$71,MATCH(MONTH(Output!U5),Inputs!$D$66:$D$71,0)))</f>
        <v>100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103</v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>
        <f>IF(ISERROR(VLOOKUP(MONTH(Y5),Inputs!$D$66:$D$71,1,0)),"",INDEX(Inputs!$B$66:$B$71,MATCH(MONTH(Output!Y5),Inputs!$D$66:$D$71,0))-INDEX(Inputs!$C$66:$C$71,MATCH(MONTH(Output!Y5),Inputs!$D$66:$D$71,0)))</f>
        <v>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205000</v>
      </c>
      <c r="AA9" s="75">
        <f>SUM(B9:M9)</f>
        <v>205000</v>
      </c>
      <c r="AB9" s="75">
        <f>SUM(B9:Y9)</f>
        <v>205000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11958.33333333333</v>
      </c>
      <c r="C10" s="37">
        <f>SUMPRODUCT((Calculations!$D$33:$D$84=Output!C5)+0,Calculations!$C$33:$C$84)</f>
        <v>11958.33333333333</v>
      </c>
      <c r="D10" s="37">
        <f>SUMPRODUCT((Calculations!$D$33:$D$84=Output!D5)+0,Calculations!$C$33:$C$84)</f>
        <v>11958.33333333333</v>
      </c>
      <c r="E10" s="37">
        <f>SUMPRODUCT((Calculations!$D$33:$D$84=Output!E5)+0,Calculations!$C$33:$C$84)</f>
        <v>11958.33333333333</v>
      </c>
      <c r="F10" s="37">
        <f>SUMPRODUCT((Calculations!$D$33:$D$84=Output!F5)+0,Calculations!$C$33:$C$84)</f>
        <v>11958.33333333333</v>
      </c>
      <c r="G10" s="37">
        <f>SUMPRODUCT((Calculations!$D$33:$D$84=Output!G5)+0,Calculations!$C$33:$C$84)</f>
        <v>11958.33333333333</v>
      </c>
      <c r="H10" s="37">
        <f>SUMPRODUCT((Calculations!$D$33:$D$84=Output!H5)+0,Calculations!$C$33:$C$84)</f>
        <v>11958.33333333333</v>
      </c>
      <c r="I10" s="37">
        <f>SUMPRODUCT((Calculations!$D$33:$D$84=Output!I5)+0,Calculations!$C$33:$C$84)</f>
        <v>11958.33333333333</v>
      </c>
      <c r="J10" s="37">
        <f>SUMPRODUCT((Calculations!$D$33:$D$84=Output!J5)+0,Calculations!$C$33:$C$84)</f>
        <v>11958.33333333333</v>
      </c>
      <c r="K10" s="37">
        <f>SUMPRODUCT((Calculations!$D$33:$D$84=Output!K5)+0,Calculations!$C$33:$C$84)</f>
        <v>11958.33333333333</v>
      </c>
      <c r="L10" s="37">
        <f>SUMPRODUCT((Calculations!$D$33:$D$84=Output!L5)+0,Calculations!$C$33:$C$84)</f>
        <v>11958.33333333333</v>
      </c>
      <c r="M10" s="37">
        <f>SUMPRODUCT((Calculations!$D$33:$D$84=Output!M5)+0,Calculations!$C$33:$C$84)</f>
        <v>11958.33333333333</v>
      </c>
      <c r="N10" s="37">
        <f>SUMPRODUCT((Calculations!$D$33:$D$84=Output!N5)+0,Calculations!$C$33:$C$84)</f>
        <v>11958.33333333333</v>
      </c>
      <c r="O10" s="37">
        <f>SUMPRODUCT((Calculations!$D$33:$D$84=Output!O5)+0,Calculations!$C$33:$C$84)</f>
        <v>11958.33333333333</v>
      </c>
      <c r="P10" s="37">
        <f>SUMPRODUCT((Calculations!$D$33:$D$84=Output!P5)+0,Calculations!$C$33:$C$84)</f>
        <v>11958.33333333333</v>
      </c>
      <c r="Q10" s="37">
        <f>SUMPRODUCT((Calculations!$D$33:$D$84=Output!Q5)+0,Calculations!$C$33:$C$84)</f>
        <v>11958.33333333333</v>
      </c>
      <c r="R10" s="37">
        <f>SUMPRODUCT((Calculations!$D$33:$D$84=Output!R5)+0,Calculations!$C$33:$C$84)</f>
        <v>11958.33333333333</v>
      </c>
      <c r="S10" s="37">
        <f>SUMPRODUCT((Calculations!$D$33:$D$84=Output!S5)+0,Calculations!$C$33:$C$84)</f>
        <v>11958.33333333333</v>
      </c>
      <c r="T10" s="37">
        <f>SUMPRODUCT((Calculations!$D$33:$D$84=Output!T5)+0,Calculations!$C$33:$C$84)</f>
        <v>11958.33333333333</v>
      </c>
      <c r="U10" s="37">
        <f>SUMPRODUCT((Calculations!$D$33:$D$84=Output!U5)+0,Calculations!$C$33:$C$84)</f>
        <v>11958.33333333333</v>
      </c>
      <c r="V10" s="37">
        <f>SUMPRODUCT((Calculations!$D$33:$D$84=Output!V5)+0,Calculations!$C$33:$C$84)</f>
        <v>11958.33333333333</v>
      </c>
      <c r="W10" s="37">
        <f>SUMPRODUCT((Calculations!$D$33:$D$84=Output!W5)+0,Calculations!$C$33:$C$84)</f>
        <v>11958.33333333333</v>
      </c>
      <c r="X10" s="37">
        <f>SUMPRODUCT((Calculations!$D$33:$D$84=Output!X5)+0,Calculations!$C$33:$C$84)</f>
        <v>11958.33333333333</v>
      </c>
      <c r="Y10" s="37">
        <f>SUMPRODUCT((Calculations!$D$33:$D$84=Output!Y5)+0,Calculations!$C$33:$C$84)</f>
        <v>11958.33333333333</v>
      </c>
      <c r="Z10" s="37">
        <f>SUMIF($B$13:$Y$13,"Yes",B10:Y10)</f>
        <v>287000</v>
      </c>
      <c r="AA10" s="37">
        <f>SUM(B10:M10)</f>
        <v>143500</v>
      </c>
      <c r="AB10" s="37">
        <f>SUM(B10:Y10)</f>
        <v>287000</v>
      </c>
    </row>
    <row r="11" spans="1:30" customHeight="1" ht="15.75">
      <c r="A11" s="43" t="s">
        <v>31</v>
      </c>
      <c r="B11" s="80">
        <f>B6+B9-B10</f>
        <v>200589.6128040247</v>
      </c>
      <c r="C11" s="80">
        <f>C6+C9-C10</f>
        <v>-15391.38719597529</v>
      </c>
      <c r="D11" s="80">
        <f>D6+D9-D10</f>
        <v>-12035.38719597529</v>
      </c>
      <c r="E11" s="80">
        <f>E6+E9-E10</f>
        <v>-19335.38719597529</v>
      </c>
      <c r="F11" s="80">
        <f>F6+F9-F10</f>
        <v>106081.7290143308</v>
      </c>
      <c r="G11" s="80">
        <f>G6+G9-G10</f>
        <v>-4410.387195975291</v>
      </c>
      <c r="H11" s="80">
        <f>H6+H9-H10</f>
        <v>-4410.387195975291</v>
      </c>
      <c r="I11" s="80">
        <f>I6+I9-I10</f>
        <v>-15391.38719597529</v>
      </c>
      <c r="J11" s="80">
        <f>J6+J9-J10</f>
        <v>-12035.38719597529</v>
      </c>
      <c r="K11" s="80">
        <f>K6+K9-K10</f>
        <v>-19335.38719597529</v>
      </c>
      <c r="L11" s="80">
        <f>L6+L9-L10</f>
        <v>156081.7290143308</v>
      </c>
      <c r="M11" s="80">
        <f>M6+M9-M10</f>
        <v>-4410.387195975291</v>
      </c>
      <c r="N11" s="80">
        <f>N6+N9-N10</f>
        <v>-4410.387195975291</v>
      </c>
      <c r="O11" s="80">
        <f>O6+O9-O10</f>
        <v>-15391.38719597529</v>
      </c>
      <c r="P11" s="80">
        <f>P6+P9-P10</f>
        <v>-12035.38719597529</v>
      </c>
      <c r="Q11" s="80">
        <f>Q6+Q9-Q10</f>
        <v>-19335.38719597529</v>
      </c>
      <c r="R11" s="80">
        <f>R6+R9-R10</f>
        <v>156081.7290143308</v>
      </c>
      <c r="S11" s="80">
        <f>S6+S9-S10</f>
        <v>39339.61280402471</v>
      </c>
      <c r="T11" s="80">
        <f>T6+T9-T10</f>
        <v>-4410.387195975291</v>
      </c>
      <c r="U11" s="80">
        <f>U6+U9-U10</f>
        <v>-15391.38719597529</v>
      </c>
      <c r="V11" s="80">
        <f>V6+V9-V10</f>
        <v>-12035.38719597529</v>
      </c>
      <c r="W11" s="80">
        <f>W6+W9-W10</f>
        <v>-19335.38719597529</v>
      </c>
      <c r="X11" s="80">
        <f>X6+X9-X10</f>
        <v>156081.7290143308</v>
      </c>
      <c r="Y11" s="80">
        <f>Y6+Y9-Y10</f>
        <v>-4410.387195975291</v>
      </c>
      <c r="Z11" s="85">
        <f>SUMIF($B$13:$Y$13,"Yes",B11:Y11)</f>
        <v>600745.1721378174</v>
      </c>
      <c r="AA11" s="80">
        <f>SUM(B11:M11)</f>
        <v>355997.5860689087</v>
      </c>
      <c r="AB11" s="46">
        <f>SUM(B11:Y11)</f>
        <v>600745.1721378174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0.05626181551340571</v>
      </c>
      <c r="C12" s="82">
        <f>IF(C13="Yes",IF(SUM($B$10:C10)/(SUM($B$6:C6)+SUM($B$9:C9))&lt;0,999.99,SUM($B$10:C10)/(SUM($B$6:C6)+SUM($B$9:C9))),"")</f>
        <v>0.1143709393745479</v>
      </c>
      <c r="D12" s="82">
        <f>IF(D13="Yes",IF(SUM($B$10:D10)/(SUM($B$6:D6)+SUM($B$9:D9))&lt;0,999.99,SUM($B$10:D10)/(SUM($B$6:D6)+SUM($B$9:D9))),"")</f>
        <v>0.1716196468185821</v>
      </c>
      <c r="E12" s="82">
        <f>IF(E13="Yes",IF(SUM($B$10:E10)/(SUM($B$6:E6)+SUM($B$9:E9))&lt;0,999.99,SUM($B$10:E10)/(SUM($B$6:E6)+SUM($B$9:E9))),"")</f>
        <v>0.2371970010937261</v>
      </c>
      <c r="F12" s="82">
        <f>IF(F13="Yes",IF(SUM($B$10:F10)/(SUM($B$6:F6)+SUM($B$9:F9))&lt;0,999.99,SUM($B$10:F10)/(SUM($B$6:F6)+SUM($B$9:F9))),"")</f>
        <v>0.1870237981756492</v>
      </c>
      <c r="G12" s="82">
        <f>IF(G13="Yes",IF(SUM($B$10:G10)/(SUM($B$6:G6)+SUM($B$9:G9))&lt;0,999.99,SUM($B$10:G10)/(SUM($B$6:G6)+SUM($B$9:G9))),"")</f>
        <v>0.2192521455455629</v>
      </c>
      <c r="H12" s="82">
        <f>IF(H13="Yes",IF(SUM($B$10:H10)/(SUM($B$6:H6)+SUM($B$9:H9))&lt;0,999.99,SUM($B$10:H10)/(SUM($B$6:H6)+SUM($B$9:H9))),"")</f>
        <v>0.250027325655569</v>
      </c>
      <c r="I12" s="82">
        <f>IF(I13="Yes",IF(SUM($B$10:I10)/(SUM($B$6:I6)+SUM($B$9:I9))&lt;0,999.99,SUM($B$10:I10)/(SUM($B$6:I6)+SUM($B$9:I9))),"")</f>
        <v>0.2887059472959667</v>
      </c>
      <c r="J12" s="82">
        <f>IF(J13="Yes",IF(SUM($B$10:J10)/(SUM($B$6:J6)+SUM($B$9:J9))&lt;0,999.99,SUM($B$10:J10)/(SUM($B$6:J6)+SUM($B$9:J9))),"")</f>
        <v>0.3248697344956742</v>
      </c>
      <c r="K12" s="82">
        <f>IF(K13="Yes",IF(SUM($B$10:K10)/(SUM($B$6:K6)+SUM($B$9:K9))&lt;0,999.99,SUM($B$10:K10)/(SUM($B$6:K6)+SUM($B$9:K9))),"")</f>
        <v>0.3691873955235654</v>
      </c>
      <c r="L12" s="82">
        <f>IF(L13="Yes",IF(SUM($B$10:L10)/(SUM($B$6:L6)+SUM($B$9:L9))&lt;0,999.99,SUM($B$10:L10)/(SUM($B$6:L6)+SUM($B$9:L9))),"")</f>
        <v>0.2673884804244784</v>
      </c>
      <c r="M12" s="82">
        <f>IF(M13="Yes",IF(SUM($B$10:M10)/(SUM($B$6:M6)+SUM($B$9:M9))&lt;0,999.99,SUM($B$10:M10)/(SUM($B$6:M6)+SUM($B$9:M9))),"")</f>
        <v>0.2872886756657985</v>
      </c>
      <c r="N12" s="82">
        <f>IF(N13="Yes",IF(SUM($B$10:N10)/(SUM($B$6:N6)+SUM($B$9:N9))&lt;0,999.99,SUM($B$10:N10)/(SUM($B$6:N6)+SUM($B$9:N9))),"")</f>
        <v>0.3065963970866677</v>
      </c>
      <c r="O12" s="82">
        <f>IF(O13="Yes",IF(SUM($B$10:O10)/(SUM($B$6:O6)+SUM($B$9:O9))&lt;0,999.99,SUM($B$10:O10)/(SUM($B$6:O6)+SUM($B$9:O9))),"")</f>
        <v>0.3324315299281265</v>
      </c>
      <c r="P12" s="82">
        <f>IF(P13="Yes",IF(SUM($B$10:P10)/(SUM($B$6:P6)+SUM($B$9:P9))&lt;0,999.99,SUM($B$10:P10)/(SUM($B$6:P6)+SUM($B$9:P9))),"")</f>
        <v>0.3562311433895443</v>
      </c>
      <c r="Q12" s="82">
        <f>IF(Q13="Yes",IF(SUM($B$10:Q10)/(SUM($B$6:Q6)+SUM($B$9:Q9))&lt;0,999.99,SUM($B$10:Q10)/(SUM($B$6:Q6)+SUM($B$9:Q9))),"")</f>
        <v>0.3856295583502559</v>
      </c>
      <c r="R12" s="82">
        <f>IF(R13="Yes",IF(SUM($B$10:R10)/(SUM($B$6:R6)+SUM($B$9:R9))&lt;0,999.99,SUM($B$10:R10)/(SUM($B$6:R6)+SUM($B$9:R9))),"")</f>
        <v>0.3060706809542738</v>
      </c>
      <c r="S12" s="82">
        <f>IF(S13="Yes",IF(SUM($B$10:S10)/(SUM($B$6:S6)+SUM($B$9:S9))&lt;0,999.99,SUM($B$10:S10)/(SUM($B$6:S6)+SUM($B$9:S9))),"")</f>
        <v>0.3008400968705731</v>
      </c>
      <c r="T12" s="82">
        <f>IF(T13="Yes",IF(SUM($B$10:T10)/(SUM($B$6:T6)+SUM($B$9:T9))&lt;0,999.99,SUM($B$10:T10)/(SUM($B$6:T6)+SUM($B$9:T9))),"")</f>
        <v>0.3142384573140652</v>
      </c>
      <c r="U12" s="82">
        <f>IF(U13="Yes",IF(SUM($B$10:U10)/(SUM($B$6:U6)+SUM($B$9:U9))&lt;0,999.99,SUM($B$10:U10)/(SUM($B$6:U6)+SUM($B$9:U9))),"")</f>
        <v>0.3323553648745034</v>
      </c>
      <c r="V12" s="82">
        <f>IF(V13="Yes",IF(SUM($B$10:V10)/(SUM($B$6:V6)+SUM($B$9:V9))&lt;0,999.99,SUM($B$10:V10)/(SUM($B$6:V6)+SUM($B$9:V9))),"")</f>
        <v>0.3490105041385504</v>
      </c>
      <c r="W12" s="82">
        <f>IF(W13="Yes",IF(SUM($B$10:W10)/(SUM($B$6:W6)+SUM($B$9:W9))&lt;0,999.99,SUM($B$10:W10)/(SUM($B$6:W6)+SUM($B$9:W9))),"")</f>
        <v>0.369417520121439</v>
      </c>
      <c r="X12" s="82">
        <f>IF(X13="Yes",IF(SUM($B$10:X10)/(SUM($B$6:X6)+SUM($B$9:X9))&lt;0,999.99,SUM($B$10:X10)/(SUM($B$6:X6)+SUM($B$9:X9))),"")</f>
        <v>0.3124773159266048</v>
      </c>
      <c r="Y12" s="82">
        <f>IF(Y13="Yes",IF(SUM($B$10:Y10)/(SUM($B$6:Y6)+SUM($B$9:Y9))&lt;0,999.99,SUM($B$10:Y10)/(SUM($B$6:Y6)+SUM($B$9:Y9))),"")</f>
        <v>0.3232909724632611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672468.4648412244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34304.51127819547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437999.9999999999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43750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43750</v>
      </c>
      <c r="AA27" s="36">
        <f>SUM(B27:M27)</f>
        <v>0</v>
      </c>
      <c r="AB27" s="46">
        <f>SUM(B27:Y27)</f>
        <v>43750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600000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43250</v>
      </c>
      <c r="C30" s="19">
        <f>SUM(C18:C29)</f>
        <v>43250</v>
      </c>
      <c r="D30" s="19">
        <f>SUM(D18:D29)</f>
        <v>43250</v>
      </c>
      <c r="E30" s="19">
        <f>SUM(E18:E29)</f>
        <v>43250</v>
      </c>
      <c r="F30" s="19">
        <f>SUM(F18:F29)</f>
        <v>211367.1162103061</v>
      </c>
      <c r="G30" s="19">
        <f>SUM(G18:G29)</f>
        <v>43250</v>
      </c>
      <c r="H30" s="19">
        <f>SUM(H18:H29)</f>
        <v>43250</v>
      </c>
      <c r="I30" s="19">
        <f>SUM(I18:I29)</f>
        <v>43250</v>
      </c>
      <c r="J30" s="19">
        <f>SUM(J18:J29)</f>
        <v>43250</v>
      </c>
      <c r="K30" s="19">
        <f>SUM(K18:K29)</f>
        <v>43250</v>
      </c>
      <c r="L30" s="19">
        <f>SUM(L18:L29)</f>
        <v>211367.1162103061</v>
      </c>
      <c r="M30" s="19">
        <f>SUM(M18:M29)</f>
        <v>43250</v>
      </c>
      <c r="N30" s="19">
        <f>SUM(N18:N29)</f>
        <v>43250</v>
      </c>
      <c r="O30" s="19">
        <f>SUM(O18:O29)</f>
        <v>43250</v>
      </c>
      <c r="P30" s="19">
        <f>SUM(P18:P29)</f>
        <v>43250</v>
      </c>
      <c r="Q30" s="19">
        <f>SUM(Q18:Q29)</f>
        <v>43250</v>
      </c>
      <c r="R30" s="19">
        <f>SUM(R18:R29)</f>
        <v>211367.1162103061</v>
      </c>
      <c r="S30" s="19">
        <f>SUM(S18:S29)</f>
        <v>87000</v>
      </c>
      <c r="T30" s="19">
        <f>SUM(T18:T29)</f>
        <v>43250</v>
      </c>
      <c r="U30" s="19">
        <f>SUM(U18:U29)</f>
        <v>43250</v>
      </c>
      <c r="V30" s="19">
        <f>SUM(V18:V29)</f>
        <v>43250</v>
      </c>
      <c r="W30" s="19">
        <f>SUM(W18:W29)</f>
        <v>43250</v>
      </c>
      <c r="X30" s="19">
        <f>SUM(X18:X29)</f>
        <v>211367.1162103061</v>
      </c>
      <c r="Y30" s="19">
        <f>SUM(Y18:Y29)</f>
        <v>43250</v>
      </c>
      <c r="Z30" s="19">
        <f>SUMIF($B$13:$Y$13,"Yes",B30:Y30)</f>
        <v>1754218.464841224</v>
      </c>
      <c r="AA30" s="19">
        <f>SUM(B30:M30)</f>
        <v>855234.2324206121</v>
      </c>
      <c r="AB30" s="19">
        <f>SUM(B30:Y30)</f>
        <v>1754218.464841224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1356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1356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1356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1356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5424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606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606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606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606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2424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7300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7300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7300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7300</v>
      </c>
      <c r="X48" s="46">
        <f>SUM(X49:X53)</f>
        <v>0</v>
      </c>
      <c r="Y48" s="46">
        <f>SUM(Y49:Y53)</f>
        <v>0</v>
      </c>
      <c r="Z48" s="46">
        <f>SUMIF($B$13:$Y$13,"Yes",B48:Y48)</f>
        <v>29200</v>
      </c>
      <c r="AA48" s="46">
        <f>SUM(B48:M48)</f>
        <v>14600</v>
      </c>
      <c r="AB48" s="46">
        <f>SUM(B48:Y48)</f>
        <v>29200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2800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2800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2800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2800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11200</v>
      </c>
      <c r="AA51" s="46">
        <f>SUM(B51:M51)</f>
        <v>5600</v>
      </c>
      <c r="AB51" s="46">
        <f>SUM(B51:Y51)</f>
        <v>11200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0</v>
      </c>
      <c r="H60" s="36">
        <f>T60</f>
        <v>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0</v>
      </c>
      <c r="N60" s="46">
        <f>SUM(N61:N65)</f>
        <v>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0</v>
      </c>
      <c r="T60" s="46">
        <f>SUM(T61:T65)</f>
        <v>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0</v>
      </c>
      <c r="Z60" s="46">
        <f>SUMIF($B$13:$Y$13,"Yes",B60:Y60)</f>
        <v>24000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24000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2352</v>
      </c>
      <c r="C66" s="36">
        <f>O66</f>
        <v>8477</v>
      </c>
      <c r="D66" s="36">
        <f>P66</f>
        <v>8477</v>
      </c>
      <c r="E66" s="36">
        <f>Q66</f>
        <v>8477</v>
      </c>
      <c r="F66" s="36">
        <f>R66</f>
        <v>8477</v>
      </c>
      <c r="G66" s="36">
        <f>S66</f>
        <v>2352</v>
      </c>
      <c r="H66" s="36">
        <f>T66</f>
        <v>2352</v>
      </c>
      <c r="I66" s="36">
        <f>U66</f>
        <v>8477</v>
      </c>
      <c r="J66" s="36">
        <f>V66</f>
        <v>8477</v>
      </c>
      <c r="K66" s="36">
        <f>W66</f>
        <v>8477</v>
      </c>
      <c r="L66" s="36">
        <f>X66</f>
        <v>8477</v>
      </c>
      <c r="M66" s="36">
        <f>Y66</f>
        <v>2352</v>
      </c>
      <c r="N66" s="46">
        <f>SUM(N67:N71)</f>
        <v>2352</v>
      </c>
      <c r="O66" s="46">
        <f>SUM(O67:O71)</f>
        <v>8477</v>
      </c>
      <c r="P66" s="46">
        <f>SUM(P67:P71)</f>
        <v>8477</v>
      </c>
      <c r="Q66" s="46">
        <f>SUM(Q67:Q71)</f>
        <v>8477</v>
      </c>
      <c r="R66" s="46">
        <f>SUM(R67:R71)</f>
        <v>8477</v>
      </c>
      <c r="S66" s="46">
        <f>SUM(S67:S71)</f>
        <v>2352</v>
      </c>
      <c r="T66" s="46">
        <f>SUM(T67:T71)</f>
        <v>2352</v>
      </c>
      <c r="U66" s="46">
        <f>SUM(U67:U71)</f>
        <v>8477</v>
      </c>
      <c r="V66" s="46">
        <f>SUM(V67:V71)</f>
        <v>8477</v>
      </c>
      <c r="W66" s="46">
        <f>SUM(W67:W71)</f>
        <v>8477</v>
      </c>
      <c r="X66" s="46">
        <f>SUM(X67:X71)</f>
        <v>8477</v>
      </c>
      <c r="Y66" s="46">
        <f>SUM(Y67:Y71)</f>
        <v>2352</v>
      </c>
      <c r="Z66" s="46">
        <f>SUMIF($B$13:$Y$13,"Yes",B66:Y66)</f>
        <v>154448</v>
      </c>
      <c r="AA66" s="46">
        <f>SUM(B66:M66)</f>
        <v>77224</v>
      </c>
      <c r="AB66" s="46">
        <f>SUM(B66:Y66)</f>
        <v>154448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4287.5</v>
      </c>
      <c r="D67" s="36">
        <f>P67</f>
        <v>4287.5</v>
      </c>
      <c r="E67" s="36">
        <f>Q67</f>
        <v>4287.5</v>
      </c>
      <c r="F67" s="36">
        <f>R67</f>
        <v>4287.5</v>
      </c>
      <c r="G67" s="36">
        <f>S67</f>
        <v>0</v>
      </c>
      <c r="H67" s="36">
        <f>T67</f>
        <v>0</v>
      </c>
      <c r="I67" s="36">
        <f>U67</f>
        <v>4287.5</v>
      </c>
      <c r="J67" s="36">
        <f>V67</f>
        <v>4287.5</v>
      </c>
      <c r="K67" s="36">
        <f>W67</f>
        <v>4287.5</v>
      </c>
      <c r="L67" s="36">
        <f>X67</f>
        <v>4287.5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4287.5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4287.5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4287.5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4287.5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4287.5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4287.5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68600</v>
      </c>
      <c r="AA67" s="46">
        <f>SUM(B67:M67)</f>
        <v>34300</v>
      </c>
      <c r="AB67" s="46">
        <f>SUM(B67:Y67)</f>
        <v>68600</v>
      </c>
    </row>
    <row r="68" spans="1:30" hidden="true" outlineLevel="1">
      <c r="A68" s="181" t="str">
        <f>Calculations!$A$5</f>
        <v>Potatoes</v>
      </c>
      <c r="B68" s="36">
        <f>N68</f>
        <v>2352</v>
      </c>
      <c r="C68" s="36">
        <f>O68</f>
        <v>2352</v>
      </c>
      <c r="D68" s="36">
        <f>P68</f>
        <v>2352</v>
      </c>
      <c r="E68" s="36">
        <f>Q68</f>
        <v>2352</v>
      </c>
      <c r="F68" s="36">
        <f>R68</f>
        <v>2352</v>
      </c>
      <c r="G68" s="36">
        <f>S68</f>
        <v>2352</v>
      </c>
      <c r="H68" s="36">
        <f>T68</f>
        <v>2352</v>
      </c>
      <c r="I68" s="36">
        <f>U68</f>
        <v>2352</v>
      </c>
      <c r="J68" s="36">
        <f>V68</f>
        <v>2352</v>
      </c>
      <c r="K68" s="36">
        <f>W68</f>
        <v>2352</v>
      </c>
      <c r="L68" s="36">
        <f>X68</f>
        <v>2352</v>
      </c>
      <c r="M68" s="36">
        <f>Y68</f>
        <v>2352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2352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2352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2352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2352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2352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2352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2352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2352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2352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2352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2352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2352</v>
      </c>
      <c r="Z68" s="46">
        <f>SUMIF($B$13:$Y$13,"Yes",B68:Y68)</f>
        <v>56448</v>
      </c>
      <c r="AA68" s="46">
        <f>SUM(B68:M68)</f>
        <v>28224</v>
      </c>
      <c r="AB68" s="46">
        <f>SUM(B68:Y68)</f>
        <v>56448</v>
      </c>
    </row>
    <row r="69" spans="1:30" hidden="true" outlineLevel="1">
      <c r="A69" s="181" t="str">
        <f>Calculations!$A$6</f>
        <v>Cabbages</v>
      </c>
      <c r="B69" s="36">
        <f>N69</f>
        <v>0</v>
      </c>
      <c r="C69" s="36">
        <f>O69</f>
        <v>1837.5</v>
      </c>
      <c r="D69" s="36">
        <f>P69</f>
        <v>1837.5</v>
      </c>
      <c r="E69" s="36">
        <f>Q69</f>
        <v>1837.5</v>
      </c>
      <c r="F69" s="36">
        <f>R69</f>
        <v>1837.5</v>
      </c>
      <c r="G69" s="36">
        <f>S69</f>
        <v>0</v>
      </c>
      <c r="H69" s="36">
        <f>T69</f>
        <v>0</v>
      </c>
      <c r="I69" s="36">
        <f>U69</f>
        <v>1837.5</v>
      </c>
      <c r="J69" s="36">
        <f>V69</f>
        <v>1837.5</v>
      </c>
      <c r="K69" s="36">
        <f>W69</f>
        <v>1837.5</v>
      </c>
      <c r="L69" s="36">
        <f>X69</f>
        <v>1837.5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1837.5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1837.5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1837.5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1837.5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1837.5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1837.5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1837.5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1837.5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29400</v>
      </c>
      <c r="AA69" s="46">
        <f>SUM(B69:M69)</f>
        <v>14700</v>
      </c>
      <c r="AB69" s="46">
        <f>SUM(B69:Y69)</f>
        <v>29400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182500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177.7777777777778</v>
      </c>
      <c r="C75" s="46">
        <f>SUM(Calculations!$R$14:$R$16)/12</f>
        <v>177.7777777777778</v>
      </c>
      <c r="D75" s="46">
        <f>SUM(Calculations!$R$14:$R$16)/12</f>
        <v>177.7777777777778</v>
      </c>
      <c r="E75" s="46">
        <f>SUM(Calculations!$R$14:$R$16)/12</f>
        <v>177.7777777777778</v>
      </c>
      <c r="F75" s="46">
        <f>SUM(Calculations!$R$14:$R$16)/12</f>
        <v>177.7777777777778</v>
      </c>
      <c r="G75" s="46">
        <f>SUM(Calculations!$R$14:$R$16)/12</f>
        <v>177.7777777777778</v>
      </c>
      <c r="H75" s="46">
        <f>SUM(Calculations!$R$14:$R$16)/12</f>
        <v>177.7777777777778</v>
      </c>
      <c r="I75" s="46">
        <f>SUM(Calculations!$R$14:$R$16)/12</f>
        <v>177.7777777777778</v>
      </c>
      <c r="J75" s="46">
        <f>SUM(Calculations!$R$14:$R$16)/12</f>
        <v>177.7777777777778</v>
      </c>
      <c r="K75" s="46">
        <f>SUM(Calculations!$R$14:$R$16)/12</f>
        <v>177.7777777777778</v>
      </c>
      <c r="L75" s="46">
        <f>SUM(Calculations!$R$14:$R$16)/12</f>
        <v>177.7777777777778</v>
      </c>
      <c r="M75" s="46">
        <f>SUM(Calculations!$R$14:$R$16)/12</f>
        <v>177.7777777777778</v>
      </c>
      <c r="N75" s="46">
        <f>SUM(Calculations!$R$14:$R$16)/12</f>
        <v>177.7777777777778</v>
      </c>
      <c r="O75" s="46">
        <f>SUM(Calculations!$R$14:$R$16)/12</f>
        <v>177.7777777777778</v>
      </c>
      <c r="P75" s="46">
        <f>SUM(Calculations!$R$14:$R$16)/12</f>
        <v>177.7777777777778</v>
      </c>
      <c r="Q75" s="46">
        <f>SUM(Calculations!$R$14:$R$16)/12</f>
        <v>177.7777777777778</v>
      </c>
      <c r="R75" s="46">
        <f>SUM(Calculations!$R$14:$R$16)/12</f>
        <v>177.7777777777778</v>
      </c>
      <c r="S75" s="46">
        <f>SUM(Calculations!$R$14:$R$16)/12</f>
        <v>177.7777777777778</v>
      </c>
      <c r="T75" s="46">
        <f>SUM(Calculations!$R$14:$R$16)/12</f>
        <v>177.7777777777778</v>
      </c>
      <c r="U75" s="46">
        <f>SUM(Calculations!$R$14:$R$16)/12</f>
        <v>177.7777777777778</v>
      </c>
      <c r="V75" s="46">
        <f>SUM(Calculations!$R$14:$R$16)/12</f>
        <v>177.7777777777778</v>
      </c>
      <c r="W75" s="46">
        <f>SUM(Calculations!$R$14:$R$16)/12</f>
        <v>177.7777777777778</v>
      </c>
      <c r="X75" s="46">
        <f>SUM(Calculations!$R$14:$R$16)/12</f>
        <v>177.7777777777778</v>
      </c>
      <c r="Y75" s="46">
        <f>SUM(Calculations!$R$14:$R$16)/12</f>
        <v>177.7777777777778</v>
      </c>
      <c r="Z75" s="46">
        <f>SUMIF($B$13:$Y$13,"Yes",B75:Y75)</f>
        <v>4266.666666666667</v>
      </c>
      <c r="AA75" s="46">
        <f>SUM(B75:M75)</f>
        <v>2133.333333333333</v>
      </c>
      <c r="AB75" s="46">
        <f>SUM(B75:Y75)</f>
        <v>4266.666666666667</v>
      </c>
    </row>
    <row r="76" spans="1:30">
      <c r="A76" s="16" t="s">
        <v>48</v>
      </c>
      <c r="B76" s="46">
        <f>SUM(Calculations!$S$14:$S$16)/12</f>
        <v>1429.354636591478</v>
      </c>
      <c r="C76" s="46">
        <f>SUM(Calculations!$S$14:$S$16)/12</f>
        <v>1429.354636591478</v>
      </c>
      <c r="D76" s="46">
        <f>SUM(Calculations!$S$14:$S$16)/12</f>
        <v>1429.354636591478</v>
      </c>
      <c r="E76" s="46">
        <f>SUM(Calculations!$S$14:$S$16)/12</f>
        <v>1429.354636591478</v>
      </c>
      <c r="F76" s="46">
        <f>SUM(Calculations!$S$14:$S$16)/12</f>
        <v>1429.354636591478</v>
      </c>
      <c r="G76" s="46">
        <f>SUM(Calculations!$S$14:$S$16)/12</f>
        <v>1429.354636591478</v>
      </c>
      <c r="H76" s="46">
        <f>SUM(Calculations!$S$14:$S$16)/12</f>
        <v>1429.354636591478</v>
      </c>
      <c r="I76" s="46">
        <f>SUM(Calculations!$S$14:$S$16)/12</f>
        <v>1429.354636591478</v>
      </c>
      <c r="J76" s="46">
        <f>SUM(Calculations!$S$14:$S$16)/12</f>
        <v>1429.354636591478</v>
      </c>
      <c r="K76" s="46">
        <f>SUM(Calculations!$S$14:$S$16)/12</f>
        <v>1429.354636591478</v>
      </c>
      <c r="L76" s="46">
        <f>SUM(Calculations!$S$14:$S$16)/12</f>
        <v>1429.354636591478</v>
      </c>
      <c r="M76" s="46">
        <f>SUM(Calculations!$S$14:$S$16)/12</f>
        <v>1429.354636591478</v>
      </c>
      <c r="N76" s="46">
        <f>SUM(Calculations!$S$14:$S$16)/12</f>
        <v>1429.354636591478</v>
      </c>
      <c r="O76" s="46">
        <f>SUM(Calculations!$S$14:$S$16)/12</f>
        <v>1429.354636591478</v>
      </c>
      <c r="P76" s="46">
        <f>SUM(Calculations!$S$14:$S$16)/12</f>
        <v>1429.354636591478</v>
      </c>
      <c r="Q76" s="46">
        <f>SUM(Calculations!$S$14:$S$16)/12</f>
        <v>1429.354636591478</v>
      </c>
      <c r="R76" s="46">
        <f>SUM(Calculations!$S$14:$S$16)/12</f>
        <v>1429.354636591478</v>
      </c>
      <c r="S76" s="46">
        <f>SUM(Calculations!$S$14:$S$16)/12</f>
        <v>1429.354636591478</v>
      </c>
      <c r="T76" s="46">
        <f>SUM(Calculations!$S$14:$S$16)/12</f>
        <v>1429.354636591478</v>
      </c>
      <c r="U76" s="46">
        <f>SUM(Calculations!$S$14:$S$16)/12</f>
        <v>1429.354636591478</v>
      </c>
      <c r="V76" s="46">
        <f>SUM(Calculations!$S$14:$S$16)/12</f>
        <v>1429.354636591478</v>
      </c>
      <c r="W76" s="46">
        <f>SUM(Calculations!$S$14:$S$16)/12</f>
        <v>1429.354636591478</v>
      </c>
      <c r="X76" s="46">
        <f>SUM(Calculations!$S$14:$S$16)/12</f>
        <v>1429.354636591478</v>
      </c>
      <c r="Y76" s="46">
        <f>SUM(Calculations!$S$14:$S$16)/12</f>
        <v>1429.354636591478</v>
      </c>
      <c r="Z76" s="46">
        <f>SUMIF($B$13:$Y$13,"Yes",B76:Y76)</f>
        <v>34304.51127819547</v>
      </c>
      <c r="AA76" s="46">
        <f>SUM(B76:M76)</f>
        <v>17152.25563909774</v>
      </c>
      <c r="AB76" s="46">
        <f>SUM(B76:Y76)</f>
        <v>34304.51127819547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50000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19138.75478160604</v>
      </c>
      <c r="C81" s="46">
        <f>(SUM($AA$18:$AA$29)-SUM($AA$36,$AA$42,$AA$48,$AA$54,$AA$60,$AA$66,$AA$72:$AA$79))*Parameters!$B$37/12</f>
        <v>19138.75478160604</v>
      </c>
      <c r="D81" s="46">
        <f>(SUM($AA$18:$AA$29)-SUM($AA$36,$AA$42,$AA$48,$AA$54,$AA$60,$AA$66,$AA$72:$AA$79))*Parameters!$B$37/12</f>
        <v>19138.75478160604</v>
      </c>
      <c r="E81" s="46">
        <f>(SUM($AA$18:$AA$29)-SUM($AA$36,$AA$42,$AA$48,$AA$54,$AA$60,$AA$66,$AA$72:$AA$79))*Parameters!$B$37/12</f>
        <v>19138.75478160604</v>
      </c>
      <c r="F81" s="46">
        <f>(SUM($AA$18:$AA$29)-SUM($AA$36,$AA$42,$AA$48,$AA$54,$AA$60,$AA$66,$AA$72:$AA$79))*Parameters!$B$37/12</f>
        <v>19138.75478160604</v>
      </c>
      <c r="G81" s="46">
        <f>(SUM($AA$18:$AA$29)-SUM($AA$36,$AA$42,$AA$48,$AA$54,$AA$60,$AA$66,$AA$72:$AA$79))*Parameters!$B$37/12</f>
        <v>19138.75478160604</v>
      </c>
      <c r="H81" s="46">
        <f>(SUM($AA$18:$AA$29)-SUM($AA$36,$AA$42,$AA$48,$AA$54,$AA$60,$AA$66,$AA$72:$AA$79))*Parameters!$B$37/12</f>
        <v>19138.75478160604</v>
      </c>
      <c r="I81" s="46">
        <f>(SUM($AA$18:$AA$29)-SUM($AA$36,$AA$42,$AA$48,$AA$54,$AA$60,$AA$66,$AA$72:$AA$79))*Parameters!$B$37/12</f>
        <v>19138.75478160604</v>
      </c>
      <c r="J81" s="46">
        <f>(SUM($AA$18:$AA$29)-SUM($AA$36,$AA$42,$AA$48,$AA$54,$AA$60,$AA$66,$AA$72:$AA$79))*Parameters!$B$37/12</f>
        <v>19138.75478160604</v>
      </c>
      <c r="K81" s="46">
        <f>(SUM($AA$18:$AA$29)-SUM($AA$36,$AA$42,$AA$48,$AA$54,$AA$60,$AA$66,$AA$72:$AA$79))*Parameters!$B$37/12</f>
        <v>19138.75478160604</v>
      </c>
      <c r="L81" s="46">
        <f>(SUM($AA$18:$AA$29)-SUM($AA$36,$AA$42,$AA$48,$AA$54,$AA$60,$AA$66,$AA$72:$AA$79))*Parameters!$B$37/12</f>
        <v>19138.75478160604</v>
      </c>
      <c r="M81" s="46">
        <f>(SUM($AA$18:$AA$29)-SUM($AA$36,$AA$42,$AA$48,$AA$54,$AA$60,$AA$66,$AA$72:$AA$79))*Parameters!$B$37/12</f>
        <v>19138.75478160604</v>
      </c>
      <c r="N81" s="46">
        <f>(SUM($AA$18:$AA$29)-SUM($AA$36,$AA$42,$AA$48,$AA$54,$AA$60,$AA$66,$AA$72:$AA$79))*Parameters!$B$37/12</f>
        <v>19138.75478160604</v>
      </c>
      <c r="O81" s="46">
        <f>(SUM($AA$18:$AA$29)-SUM($AA$36,$AA$42,$AA$48,$AA$54,$AA$60,$AA$66,$AA$72:$AA$79))*Parameters!$B$37/12</f>
        <v>19138.75478160604</v>
      </c>
      <c r="P81" s="46">
        <f>(SUM($AA$18:$AA$29)-SUM($AA$36,$AA$42,$AA$48,$AA$54,$AA$60,$AA$66,$AA$72:$AA$79))*Parameters!$B$37/12</f>
        <v>19138.75478160604</v>
      </c>
      <c r="Q81" s="46">
        <f>(SUM($AA$18:$AA$29)-SUM($AA$36,$AA$42,$AA$48,$AA$54,$AA$60,$AA$66,$AA$72:$AA$79))*Parameters!$B$37/12</f>
        <v>19138.75478160604</v>
      </c>
      <c r="R81" s="46">
        <f>(SUM($AA$18:$AA$29)-SUM($AA$36,$AA$42,$AA$48,$AA$54,$AA$60,$AA$66,$AA$72:$AA$79))*Parameters!$B$37/12</f>
        <v>19138.75478160604</v>
      </c>
      <c r="S81" s="46">
        <f>(SUM($AA$18:$AA$29)-SUM($AA$36,$AA$42,$AA$48,$AA$54,$AA$60,$AA$66,$AA$72:$AA$79))*Parameters!$B$37/12</f>
        <v>19138.75478160604</v>
      </c>
      <c r="T81" s="46">
        <f>(SUM($AA$18:$AA$29)-SUM($AA$36,$AA$42,$AA$48,$AA$54,$AA$60,$AA$66,$AA$72:$AA$79))*Parameters!$B$37/12</f>
        <v>19138.75478160604</v>
      </c>
      <c r="U81" s="46">
        <f>(SUM($AA$18:$AA$29)-SUM($AA$36,$AA$42,$AA$48,$AA$54,$AA$60,$AA$66,$AA$72:$AA$79))*Parameters!$B$37/12</f>
        <v>19138.75478160604</v>
      </c>
      <c r="V81" s="46">
        <f>(SUM($AA$18:$AA$29)-SUM($AA$36,$AA$42,$AA$48,$AA$54,$AA$60,$AA$66,$AA$72:$AA$79))*Parameters!$B$37/12</f>
        <v>19138.75478160604</v>
      </c>
      <c r="W81" s="46">
        <f>(SUM($AA$18:$AA$29)-SUM($AA$36,$AA$42,$AA$48,$AA$54,$AA$60,$AA$66,$AA$72:$AA$79))*Parameters!$B$37/12</f>
        <v>19138.75478160604</v>
      </c>
      <c r="X81" s="46">
        <f>(SUM($AA$18:$AA$29)-SUM($AA$36,$AA$42,$AA$48,$AA$54,$AA$60,$AA$66,$AA$72:$AA$79))*Parameters!$B$37/12</f>
        <v>19138.75478160604</v>
      </c>
      <c r="Y81" s="46">
        <f>(SUM($AA$18:$AA$29)-SUM($AA$36,$AA$42,$AA$48,$AA$54,$AA$60,$AA$66,$AA$72:$AA$79))*Parameters!$B$37/12</f>
        <v>19138.75478160604</v>
      </c>
      <c r="Z81" s="46">
        <f>SUMIF($B$13:$Y$13,"Yes",B81:Y81)</f>
        <v>459330.1147585447</v>
      </c>
      <c r="AA81" s="46">
        <f>SUM(B81:M81)</f>
        <v>229665.0573792724</v>
      </c>
      <c r="AB81" s="46">
        <f>SUM(B81:Y81)</f>
        <v>459330.1147585447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35702.05386264196</v>
      </c>
      <c r="C88" s="19">
        <f>SUM(C72:C82,C66,C60,C54,C48,C42,C36)</f>
        <v>46683.05386264196</v>
      </c>
      <c r="D88" s="19">
        <f>SUM(D72:D82,D66,D60,D54,D48,D42,D36)</f>
        <v>43327.05386264196</v>
      </c>
      <c r="E88" s="19">
        <f>SUM(E72:E82,E66,E60,E54,E48,E42,E36)</f>
        <v>50627.05386264196</v>
      </c>
      <c r="F88" s="19">
        <f>SUM(F72:F82,F66,F60,F54,F48,F42,F36)</f>
        <v>93327.05386264196</v>
      </c>
      <c r="G88" s="19">
        <f>SUM(G72:G82,G66,G60,G54,G48,G42,G36)</f>
        <v>35702.05386264196</v>
      </c>
      <c r="H88" s="19">
        <f>SUM(H72:H82,H66,H60,H54,H48,H42,H36)</f>
        <v>35702.05386264196</v>
      </c>
      <c r="I88" s="19">
        <f>SUM(I72:I82,I66,I60,I54,I48,I42,I36)</f>
        <v>46683.05386264196</v>
      </c>
      <c r="J88" s="19">
        <f>SUM(J72:J82,J66,J60,J54,J48,J42,J36)</f>
        <v>43327.05386264196</v>
      </c>
      <c r="K88" s="19">
        <f>SUM(K72:K82,K66,K60,K54,K48,K42,K36)</f>
        <v>50627.05386264196</v>
      </c>
      <c r="L88" s="19">
        <f>SUM(L72:L82,L66,L60,L54,L48,L42,L36)</f>
        <v>43327.05386264196</v>
      </c>
      <c r="M88" s="19">
        <f>SUM(M72:M82,M66,M60,M54,M48,M42,M36)</f>
        <v>35702.05386264196</v>
      </c>
      <c r="N88" s="19">
        <f>SUM(N72:N82,N66,N60,N54,N48,N42,N36)</f>
        <v>35702.05386264196</v>
      </c>
      <c r="O88" s="19">
        <f>SUM(O72:O82,O66,O60,O54,O48,O42,O36)</f>
        <v>46683.05386264196</v>
      </c>
      <c r="P88" s="19">
        <f>SUM(P72:P82,P66,P60,P54,P48,P42,P36)</f>
        <v>43327.05386264196</v>
      </c>
      <c r="Q88" s="19">
        <f>SUM(Q72:Q82,Q66,Q60,Q54,Q48,Q42,Q36)</f>
        <v>50627.05386264196</v>
      </c>
      <c r="R88" s="19">
        <f>SUM(R72:R82,R66,R60,R54,R48,R42,R36)</f>
        <v>43327.05386264196</v>
      </c>
      <c r="S88" s="19">
        <f>SUM(S72:S82,S66,S60,S54,S48,S42,S36)</f>
        <v>35702.05386264196</v>
      </c>
      <c r="T88" s="19">
        <f>SUM(T72:T82,T66,T60,T54,T48,T42,T36)</f>
        <v>35702.05386264196</v>
      </c>
      <c r="U88" s="19">
        <f>SUM(U72:U82,U66,U60,U54,U48,U42,U36)</f>
        <v>46683.05386264196</v>
      </c>
      <c r="V88" s="19">
        <f>SUM(V72:V82,V66,V60,V54,V48,V42,V36)</f>
        <v>43327.05386264196</v>
      </c>
      <c r="W88" s="19">
        <f>SUM(W72:W82,W66,W60,W54,W48,W42,W36)</f>
        <v>50627.05386264196</v>
      </c>
      <c r="X88" s="19">
        <f>SUM(X72:X82,X66,X60,X54,X48,X42,X36)</f>
        <v>43327.05386264196</v>
      </c>
      <c r="Y88" s="19">
        <f>SUM(Y72:Y82,Y66,Y60,Y54,Y48,Y42,Y36)</f>
        <v>35702.05386264196</v>
      </c>
      <c r="Z88" s="19">
        <f>SUMIF($B$13:$Y$13,"Yes",B88:Y88)</f>
        <v>1071473.292703407</v>
      </c>
      <c r="AA88" s="19">
        <f>SUM(B88:M88)</f>
        <v>560736.6463517036</v>
      </c>
      <c r="AB88" s="19">
        <f>SUM(B88:Y88)</f>
        <v>1071473.292703407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112500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5550000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7712500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205000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1</v>
      </c>
      <c r="D9" s="16"/>
      <c r="E9" s="147" t="s">
        <v>90</v>
      </c>
      <c r="F9" s="149" t="s">
        <v>99</v>
      </c>
      <c r="G9" s="147"/>
      <c r="H9" s="147" t="s">
        <v>92</v>
      </c>
      <c r="I9" s="147" t="s">
        <v>96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100</v>
      </c>
      <c r="B10" s="16"/>
      <c r="C10" s="143">
        <v>0</v>
      </c>
      <c r="D10" s="16">
        <v>0</v>
      </c>
      <c r="E10" s="147" t="s">
        <v>101</v>
      </c>
      <c r="F10" s="149" t="s">
        <v>91</v>
      </c>
      <c r="G10" s="147"/>
      <c r="H10" s="147" t="s">
        <v>92</v>
      </c>
      <c r="I10" s="147" t="s">
        <v>96</v>
      </c>
      <c r="J10" s="148" t="s">
        <v>97</v>
      </c>
      <c r="K10" s="138" t="s">
        <v>102</v>
      </c>
      <c r="L10" s="16">
        <v>0</v>
      </c>
      <c r="M10" s="165">
        <v>100</v>
      </c>
      <c r="N10" s="154">
        <v>0</v>
      </c>
    </row>
    <row r="11" spans="1:48">
      <c r="A11" s="144" t="s">
        <v>100</v>
      </c>
      <c r="B11" s="23"/>
      <c r="C11" s="144">
        <v>0</v>
      </c>
      <c r="D11" s="23"/>
      <c r="E11" s="150" t="s">
        <v>101</v>
      </c>
      <c r="F11" s="151" t="s">
        <v>91</v>
      </c>
      <c r="G11" s="150"/>
      <c r="H11" s="150" t="s">
        <v>92</v>
      </c>
      <c r="I11" s="150" t="s">
        <v>96</v>
      </c>
      <c r="J11" s="152" t="s">
        <v>97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250</v>
      </c>
      <c r="D19" s="145">
        <v>150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>
        <v>100</v>
      </c>
      <c r="L19" s="25">
        <v>1</v>
      </c>
    </row>
    <row r="20" spans="1:48">
      <c r="A20" s="143" t="s">
        <v>118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119</v>
      </c>
      <c r="J20" s="147"/>
      <c r="K20" s="147"/>
      <c r="L20" s="30"/>
    </row>
    <row r="21" spans="1:48">
      <c r="A21" s="144" t="s">
        <v>118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119</v>
      </c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30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25000</v>
      </c>
    </row>
    <row r="31" spans="1:48">
      <c r="A31" s="5" t="s">
        <v>126</v>
      </c>
      <c r="B31" s="158">
        <v>5000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 t="s">
        <v>132</v>
      </c>
      <c r="B35" s="159">
        <v>50000</v>
      </c>
      <c r="C35" s="145" t="s">
        <v>133</v>
      </c>
      <c r="D35" s="49">
        <f>IFERROR(VLOOKUP(C35,Parameters!$C$79:$D$90,2,0),"")</f>
        <v>10</v>
      </c>
    </row>
    <row r="36" spans="1:48">
      <c r="A36" s="144"/>
      <c r="B36" s="158">
        <v>0</v>
      </c>
      <c r="C36" s="150" t="s">
        <v>134</v>
      </c>
      <c r="D36" s="49">
        <f>IFERROR(VLOOKUP(C36,Parameters!$C$79:$D$90,2,0),"")</f>
        <v>12</v>
      </c>
    </row>
    <row r="38" spans="1:48">
      <c r="A38" s="3" t="s">
        <v>135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136</v>
      </c>
      <c r="B40" s="160" t="s">
        <v>92</v>
      </c>
    </row>
    <row r="41" spans="1:48">
      <c r="A41" s="55" t="s">
        <v>137</v>
      </c>
      <c r="B41" s="140"/>
    </row>
    <row r="42" spans="1:48">
      <c r="A42" s="55" t="s">
        <v>138</v>
      </c>
      <c r="B42" s="139"/>
    </row>
    <row r="43" spans="1:48">
      <c r="A43" s="55" t="s">
        <v>139</v>
      </c>
      <c r="B43" s="160" t="s">
        <v>140</v>
      </c>
    </row>
    <row r="44" spans="1:48">
      <c r="A44" s="56" t="s">
        <v>141</v>
      </c>
      <c r="B44" s="160" t="s">
        <v>92</v>
      </c>
    </row>
    <row r="45" spans="1:48">
      <c r="A45" s="56" t="s">
        <v>142</v>
      </c>
      <c r="B45" s="161">
        <v>900000</v>
      </c>
    </row>
    <row r="46" spans="1:48" customHeight="1" ht="30">
      <c r="A46" s="57" t="s">
        <v>143</v>
      </c>
      <c r="B46" s="161">
        <v>300000</v>
      </c>
    </row>
    <row r="47" spans="1:48" customHeight="1" ht="30">
      <c r="A47" s="57" t="s">
        <v>144</v>
      </c>
      <c r="B47" s="161">
        <v>350000</v>
      </c>
    </row>
    <row r="48" spans="1:48" customHeight="1" ht="30">
      <c r="A48" s="57" t="s">
        <v>145</v>
      </c>
      <c r="B48" s="161">
        <v>400000</v>
      </c>
    </row>
    <row r="49" spans="1:48" customHeight="1" ht="30">
      <c r="A49" s="57" t="s">
        <v>146</v>
      </c>
      <c r="B49" s="161">
        <v>100000</v>
      </c>
    </row>
    <row r="50" spans="1:48">
      <c r="A50" s="43"/>
      <c r="B50" s="36"/>
    </row>
    <row r="51" spans="1:48">
      <c r="A51" s="58" t="s">
        <v>147</v>
      </c>
      <c r="B51" s="161">
        <v>10000</v>
      </c>
    </row>
    <row r="52" spans="1:48">
      <c r="A52" s="43"/>
    </row>
    <row r="53" spans="1:48">
      <c r="A53" s="3" t="s">
        <v>148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149</v>
      </c>
      <c r="B55" s="10" t="s">
        <v>150</v>
      </c>
      <c r="C55" s="10" t="s">
        <v>151</v>
      </c>
      <c r="D55" s="10" t="s">
        <v>152</v>
      </c>
      <c r="E55" s="10" t="s">
        <v>153</v>
      </c>
      <c r="F55" s="10" t="s">
        <v>154</v>
      </c>
    </row>
    <row r="56" spans="1:48">
      <c r="A56" s="159">
        <v>95000</v>
      </c>
      <c r="B56" s="159">
        <v>0</v>
      </c>
      <c r="C56" s="162" t="s">
        <v>155</v>
      </c>
      <c r="D56" s="163" t="s">
        <v>156</v>
      </c>
      <c r="E56" s="163" t="s">
        <v>92</v>
      </c>
      <c r="F56" s="163" t="s">
        <v>157</v>
      </c>
    </row>
    <row r="57" spans="1:48">
      <c r="A57" s="157">
        <v>110000</v>
      </c>
      <c r="B57" s="157">
        <v>0</v>
      </c>
      <c r="C57" s="164" t="s">
        <v>158</v>
      </c>
      <c r="D57" s="165" t="s">
        <v>159</v>
      </c>
      <c r="E57" s="165" t="s">
        <v>92</v>
      </c>
      <c r="F57" s="165" t="s">
        <v>157</v>
      </c>
    </row>
    <row r="58" spans="1:48">
      <c r="A58" s="157">
        <v>100000</v>
      </c>
      <c r="B58" s="157">
        <v>0</v>
      </c>
      <c r="C58" s="164" t="s">
        <v>160</v>
      </c>
      <c r="D58" s="165" t="s">
        <v>159</v>
      </c>
      <c r="E58" s="165" t="s">
        <v>92</v>
      </c>
      <c r="F58" s="165" t="s">
        <v>157</v>
      </c>
    </row>
    <row r="59" spans="1:48">
      <c r="A59" s="157">
        <v>0</v>
      </c>
      <c r="B59" s="157">
        <v>0</v>
      </c>
      <c r="C59" s="164" t="s">
        <v>161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161</v>
      </c>
      <c r="D60" s="167"/>
      <c r="E60" s="167" t="s">
        <v>92</v>
      </c>
      <c r="F60" s="167"/>
    </row>
    <row r="63" spans="1:48">
      <c r="A63" s="3" t="s">
        <v>162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163</v>
      </c>
      <c r="C65" s="10" t="s">
        <v>164</v>
      </c>
    </row>
    <row r="66" spans="1:48">
      <c r="A66" s="142" t="s">
        <v>165</v>
      </c>
      <c r="B66" s="159">
        <v>63370</v>
      </c>
      <c r="C66" s="163">
        <v>63300</v>
      </c>
      <c r="D66" s="49">
        <f>INDEX(Parameters!$D$79:$D$90,MATCH(Inputs!A66,Parameters!$C$79:$C$90,0))</f>
        <v>5</v>
      </c>
    </row>
    <row r="67" spans="1:48">
      <c r="A67" s="143" t="s">
        <v>166</v>
      </c>
      <c r="B67" s="157">
        <v>27850</v>
      </c>
      <c r="C67" s="165">
        <v>27850</v>
      </c>
      <c r="D67" s="49">
        <f>INDEX(Parameters!$D$79:$D$90,MATCH(Inputs!A67,Parameters!$C$79:$C$90,0))</f>
        <v>4</v>
      </c>
    </row>
    <row r="68" spans="1:48">
      <c r="A68" s="143" t="s">
        <v>167</v>
      </c>
      <c r="B68" s="157">
        <v>31777</v>
      </c>
      <c r="C68" s="165">
        <v>31674</v>
      </c>
      <c r="D68" s="49">
        <f>INDEX(Parameters!$D$79:$D$90,MATCH(Inputs!A68,Parameters!$C$79:$C$90,0))</f>
        <v>3</v>
      </c>
    </row>
    <row r="69" spans="1:48">
      <c r="A69" s="143" t="s">
        <v>168</v>
      </c>
      <c r="B69" s="157">
        <v>27330</v>
      </c>
      <c r="C69" s="165">
        <v>27330</v>
      </c>
      <c r="D69" s="49">
        <f>INDEX(Parameters!$D$79:$D$90,MATCH(Inputs!A69,Parameters!$C$79:$C$90,0))</f>
        <v>2</v>
      </c>
    </row>
    <row r="70" spans="1:48">
      <c r="A70" s="143" t="s">
        <v>169</v>
      </c>
      <c r="B70" s="157">
        <v>22677</v>
      </c>
      <c r="C70" s="165">
        <v>22577</v>
      </c>
      <c r="D70" s="49">
        <f>INDEX(Parameters!$D$79:$D$90,MATCH(Inputs!A70,Parameters!$C$79:$C$90,0))</f>
        <v>1</v>
      </c>
    </row>
    <row r="71" spans="1:48">
      <c r="A71" s="144" t="s">
        <v>134</v>
      </c>
      <c r="B71" s="158">
        <v>23750</v>
      </c>
      <c r="C71" s="167">
        <v>23650</v>
      </c>
      <c r="D71" s="49">
        <f>INDEX(Parameters!$D$79:$D$90,MATCH(Inputs!A71,Parameters!$C$79:$C$90,0))</f>
        <v>12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5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205000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1</v>
      </c>
    </row>
    <row r="85" spans="1:48">
      <c r="A85" t="s">
        <v>183</v>
      </c>
      <c r="B85" s="169">
        <v>24</v>
      </c>
    </row>
    <row r="86" spans="1:48">
      <c r="A86" t="s">
        <v>184</v>
      </c>
      <c r="B86" s="161"/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42979</v>
      </c>
      <c r="D4" s="38">
        <f>IFERROR(DATE(YEAR(B4),MONTH(B4)+T4,DAY(B4)),"")</f>
        <v>43009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43191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182114.5535241956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42917</v>
      </c>
      <c r="C6" s="39">
        <f>IFERROR(DATE(YEAR(B6),MONTH(B6)+ROUND(T6/2,0),DAY(B6)),B6)</f>
        <v>42979</v>
      </c>
      <c r="D6" s="39">
        <f>IFERROR(DATE(YEAR(B6),MONTH(B6)+T6,DAY(B6)),"")</f>
        <v>43009</v>
      </c>
      <c r="E6" s="39">
        <f>IFERROR(IF($S6=0,"",IF($S6=2,DATE(YEAR(B6),MONTH(B6)+6,DAY(B6)),IF($S6=1,B6,""))),"")</f>
        <v>43101</v>
      </c>
      <c r="F6" s="39">
        <f>IFERROR(IF($S6=0,"",IF($S6=2,DATE(YEAR(C6),MONTH(C6)+6,DAY(C6)),IF($S6=1,C6,""))),"")</f>
        <v>43160</v>
      </c>
      <c r="G6" s="39">
        <f>IFERROR(IF($S6=0,"",IF($S6=2,DATE(YEAR(D6),MONTH(D6)+6,DAY(D6)),IF($S6=1,D6,""))),"")</f>
        <v>43191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9022.633424063135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2800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10500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250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2133.333333333333</v>
      </c>
      <c r="S14" s="63">
        <f>IFERROR(D14*INDEX(Parameters!$A$22:$P$29,MATCH(Calculations!$A14,Parameters!$A$22:$A$29,0),MATCH(Parameters!$N$22,Parameters!$A$22:$P$22,0)),"")</f>
        <v>17152.25563909774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43750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149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95000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110000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42903</v>
      </c>
      <c r="C33" s="27">
        <f>IF(B33&lt;&gt;"",IF(COUNT($A$33:A33)&lt;=$G$39,0,$G$41)+IF(COUNT($A$33:A33)&lt;=$G$40,0,$G$42),0)</f>
        <v>11958.33333333333</v>
      </c>
      <c r="D33" s="170">
        <f>IFERROR(DATE(YEAR(B33),MONTH(B33),1)," ")</f>
        <v>42887</v>
      </c>
      <c r="F33" t="s">
        <v>175</v>
      </c>
      <c r="G33" s="128">
        <f>IF(Inputs!B79="","",DATE(YEAR(Inputs!B79),MONTH(Inputs!B79),DAY(Inputs!B79)))</f>
        <v>42899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42933</v>
      </c>
      <c r="C34" s="27">
        <f>IF(B34&lt;&gt;"",IF(COUNT($A$33:A34)&lt;=$G$39,0,$G$41)+IF(COUNT($A$33:A34)&lt;=$G$40,0,$G$42),0)</f>
        <v>11958.33333333333</v>
      </c>
      <c r="D34" s="170">
        <f>IFERROR(DATE(YEAR(B34),MONTH(B34),1)," ")</f>
        <v>42917</v>
      </c>
      <c r="F34" t="s">
        <v>176</v>
      </c>
      <c r="G34" s="128">
        <f>IF(Inputs!B80="","",DATE(YEAR(Inputs!B80),MONTH(Inputs!B80),DAY(Inputs!B80)))</f>
        <v>42903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42964</v>
      </c>
      <c r="C35" s="27">
        <f>IF(B35&lt;&gt;"",IF(COUNT($A$33:A35)&lt;=$G$39,0,$G$41)+IF(COUNT($A$33:A35)&lt;=$G$40,0,$G$42),0)</f>
        <v>11958.33333333333</v>
      </c>
      <c r="D35" s="170">
        <f>IFERROR(DATE(YEAR(B35),MONTH(B35),1)," ")</f>
        <v>42948</v>
      </c>
      <c r="F35" t="s">
        <v>178</v>
      </c>
      <c r="G35" s="27">
        <f>Inputs!B81</f>
        <v>205000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42995</v>
      </c>
      <c r="C36" s="27">
        <f>IF(B36&lt;&gt;"",IF(COUNT($A$33:A36)&lt;=$G$39,0,$G$41)+IF(COUNT($A$33:A36)&lt;=$G$40,0,$G$42),0)</f>
        <v>11958.33333333333</v>
      </c>
      <c r="D36" s="170">
        <f>IFERROR(DATE(YEAR(B36),MONTH(B36),1)," ")</f>
        <v>42979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43025</v>
      </c>
      <c r="C37" s="27">
        <f>IF(B37&lt;&gt;"",IF(COUNT($A$33:A37)&lt;=$G$39,0,$G$41)+IF(COUNT($A$33:A37)&lt;=$G$40,0,$G$42),0)</f>
        <v>11958.33333333333</v>
      </c>
      <c r="D37" s="170">
        <f>IFERROR(DATE(YEAR(B37),MONTH(B37),1)," ")</f>
        <v>43009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43056</v>
      </c>
      <c r="C38" s="27">
        <f>IF(B38&lt;&gt;"",IF(COUNT($A$33:A38)&lt;=$G$39,0,$G$41)+IF(COUNT($A$33:A38)&lt;=$G$40,0,$G$42),0)</f>
        <v>11958.33333333333</v>
      </c>
      <c r="D38" s="170">
        <f>IFERROR(DATE(YEAR(B38),MONTH(B38),1)," ")</f>
        <v>43040</v>
      </c>
      <c r="F38" t="s">
        <v>241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43086</v>
      </c>
      <c r="C39" s="27">
        <f>IF(B39&lt;&gt;"",IF(COUNT($A$33:A39)&lt;=$G$39,0,$G$41)+IF(COUNT($A$33:A39)&lt;=$G$40,0,$G$42),0)</f>
        <v>11958.33333333333</v>
      </c>
      <c r="D39" s="170">
        <f>IFERROR(DATE(YEAR(B39),MONTH(B39),1)," ")</f>
        <v>43070</v>
      </c>
      <c r="F39" t="s">
        <v>184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43117</v>
      </c>
      <c r="C40" s="27">
        <f>IF(B40&lt;&gt;"",IF(COUNT($A$33:A40)&lt;=$G$39,0,$G$41)+IF(COUNT($A$33:A40)&lt;=$G$40,0,$G$42),0)</f>
        <v>11958.33333333333</v>
      </c>
      <c r="D40" s="170">
        <f>IFERROR(DATE(YEAR(B40),MONTH(B40),1)," ")</f>
        <v>43101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43148</v>
      </c>
      <c r="C41" s="27">
        <f>IF(B41&lt;&gt;"",IF(COUNT($A$33:A41)&lt;=$G$39,0,$G$41)+IF(COUNT($A$33:A41)&lt;=$G$40,0,$G$42),0)</f>
        <v>11958.33333333333</v>
      </c>
      <c r="D41" s="170">
        <f>IFERROR(DATE(YEAR(B41),MONTH(B41),1)," ")</f>
        <v>43132</v>
      </c>
      <c r="F41" t="s">
        <v>242</v>
      </c>
      <c r="G41" s="73">
        <f>IFERROR(G35/(G38-G39),"")</f>
        <v>8541.666666666666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43176</v>
      </c>
      <c r="C42" s="27">
        <f>IF(B42&lt;&gt;"",IF(COUNT($A$33:A42)&lt;=$G$39,0,$G$41)+IF(COUNT($A$33:A42)&lt;=$G$40,0,$G$42),0)</f>
        <v>11958.33333333333</v>
      </c>
      <c r="D42" s="170">
        <f>IFERROR(DATE(YEAR(B42),MONTH(B42),1)," ")</f>
        <v>43160</v>
      </c>
      <c r="F42" t="s">
        <v>243</v>
      </c>
      <c r="G42" s="73">
        <f>IFERROR(G35*G36*IF(G37="Monthly",G38/12,IF(G37="Fortnightly",G38/(365/14),G38/(365/28)))/(G38-G40),"")</f>
        <v>3416.666666666667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43207</v>
      </c>
      <c r="C43" s="27">
        <f>IF(B43&lt;&gt;"",IF(COUNT($A$33:A43)&lt;=$G$39,0,$G$41)+IF(COUNT($A$33:A43)&lt;=$G$40,0,$G$42),0)</f>
        <v>11958.33333333333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43237</v>
      </c>
      <c r="C44" s="27">
        <f>IF(B44&lt;&gt;"",IF(COUNT($A$33:A44)&lt;=$G$39,0,$G$41)+IF(COUNT($A$33:A44)&lt;=$G$40,0,$G$42),0)</f>
        <v>11958.33333333333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43268</v>
      </c>
      <c r="C45" s="27">
        <f>IF(B45&lt;&gt;"",IF(COUNT($A$33:A45)&lt;=$G$39,0,$G$41)+IF(COUNT($A$33:A45)&lt;=$G$40,0,$G$42),0)</f>
        <v>11958.33333333333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43298</v>
      </c>
      <c r="C46" s="27">
        <f>IF(B46&lt;&gt;"",IF(COUNT($A$33:A46)&lt;=$G$39,0,$G$41)+IF(COUNT($A$33:A46)&lt;=$G$40,0,$G$42),0)</f>
        <v>11958.33333333333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43329</v>
      </c>
      <c r="C47" s="27">
        <f>IF(B47&lt;&gt;"",IF(COUNT($A$33:A47)&lt;=$G$39,0,$G$41)+IF(COUNT($A$33:A47)&lt;=$G$40,0,$G$42),0)</f>
        <v>11958.33333333333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43360</v>
      </c>
      <c r="C48" s="27">
        <f>IF(B48&lt;&gt;"",IF(COUNT($A$33:A48)&lt;=$G$39,0,$G$41)+IF(COUNT($A$33:A48)&lt;=$G$40,0,$G$42),0)</f>
        <v>11958.33333333333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43390</v>
      </c>
      <c r="C49" s="27">
        <f>IF(B49&lt;&gt;"",IF(COUNT($A$33:A49)&lt;=$G$39,0,$G$41)+IF(COUNT($A$33:A49)&lt;=$G$40,0,$G$42),0)</f>
        <v>11958.33333333333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43421</v>
      </c>
      <c r="C50" s="27">
        <f>IF(B50&lt;&gt;"",IF(COUNT($A$33:A50)&lt;=$G$39,0,$G$41)+IF(COUNT($A$33:A50)&lt;=$G$40,0,$G$42),0)</f>
        <v>11958.33333333333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43451</v>
      </c>
      <c r="C51" s="27">
        <f>IF(B51&lt;&gt;"",IF(COUNT($A$33:A51)&lt;=$G$39,0,$G$41)+IF(COUNT($A$33:A51)&lt;=$G$40,0,$G$42),0)</f>
        <v>11958.33333333333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43482</v>
      </c>
      <c r="C52" s="27">
        <f>IF(B52&lt;&gt;"",IF(COUNT($A$33:A52)&lt;=$G$39,0,$G$41)+IF(COUNT($A$33:A52)&lt;=$G$40,0,$G$42),0)</f>
        <v>11958.33333333333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43513</v>
      </c>
      <c r="C53" s="27">
        <f>IF(B53&lt;&gt;"",IF(COUNT($A$33:A53)&lt;=$G$39,0,$G$41)+IF(COUNT($A$33:A53)&lt;=$G$40,0,$G$42),0)</f>
        <v>11958.33333333333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43541</v>
      </c>
      <c r="C54" s="27">
        <f>IF(B54&lt;&gt;"",IF(COUNT($A$33:A54)&lt;=$G$39,0,$G$41)+IF(COUNT($A$33:A54)&lt;=$G$40,0,$G$42),0)</f>
        <v>11958.33333333333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43572</v>
      </c>
      <c r="C55" s="27">
        <f>IF(B55&lt;&gt;"",IF(COUNT($A$33:A55)&lt;=$G$39,0,$G$41)+IF(COUNT($A$33:A55)&lt;=$G$40,0,$G$42),0)</f>
        <v>11958.33333333333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43602</v>
      </c>
      <c r="C56" s="27">
        <f>IF(B56&lt;&gt;"",IF(COUNT($A$33:A56)&lt;=$G$39,0,$G$41)+IF(COUNT($A$33:A56)&lt;=$G$40,0,$G$42),0)</f>
        <v>11958.33333333333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276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216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116</v>
      </c>
      <c r="B23" s="21" t="s">
        <v>305</v>
      </c>
      <c r="C23" s="72" t="s">
        <v>306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118</v>
      </c>
      <c r="B24" s="21" t="s">
        <v>307</v>
      </c>
      <c r="C24" s="116" t="s">
        <v>278</v>
      </c>
      <c r="D24" s="115" t="s">
        <v>278</v>
      </c>
      <c r="E24" s="106">
        <v>0.05</v>
      </c>
      <c r="F24" s="106">
        <v>0.1</v>
      </c>
      <c r="G24" s="106">
        <v>0.2</v>
      </c>
      <c r="H24" s="116" t="s">
        <v>278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308</v>
      </c>
      <c r="B25" s="16" t="s">
        <v>309</v>
      </c>
      <c r="C25" s="30" t="s">
        <v>310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278</v>
      </c>
      <c r="J25" s="72" t="s">
        <v>278</v>
      </c>
      <c r="K25" s="72" t="s">
        <v>278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311</v>
      </c>
      <c r="B26" s="16" t="s">
        <v>307</v>
      </c>
      <c r="C26" s="116" t="s">
        <v>278</v>
      </c>
      <c r="D26" s="115" t="s">
        <v>278</v>
      </c>
      <c r="E26" s="106">
        <v>0.2</v>
      </c>
      <c r="F26" s="106">
        <v>0.7</v>
      </c>
      <c r="G26" s="106">
        <v>2</v>
      </c>
      <c r="H26" s="116" t="s">
        <v>278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312</v>
      </c>
      <c r="B27" s="71" t="s">
        <v>307</v>
      </c>
      <c r="C27" s="116" t="s">
        <v>278</v>
      </c>
      <c r="D27" s="115" t="s">
        <v>278</v>
      </c>
      <c r="E27" s="106">
        <v>0.15</v>
      </c>
      <c r="F27" s="106">
        <v>0.25</v>
      </c>
      <c r="G27" s="106">
        <v>1</v>
      </c>
      <c r="H27" s="116" t="s">
        <v>278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307</v>
      </c>
      <c r="C28" s="116" t="s">
        <v>278</v>
      </c>
      <c r="D28" s="115" t="s">
        <v>278</v>
      </c>
      <c r="E28" s="106">
        <v>0.15</v>
      </c>
      <c r="F28" s="106">
        <v>0.25</v>
      </c>
      <c r="G28" s="106">
        <v>1</v>
      </c>
      <c r="H28" s="116" t="s">
        <v>278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314</v>
      </c>
      <c r="B29" s="118" t="s">
        <v>307</v>
      </c>
      <c r="C29" s="31" t="s">
        <v>278</v>
      </c>
      <c r="D29" s="31" t="s">
        <v>278</v>
      </c>
      <c r="E29" s="24">
        <v>0.1</v>
      </c>
      <c r="F29" s="24">
        <v>0.2</v>
      </c>
      <c r="G29" s="24">
        <v>0</v>
      </c>
      <c r="H29" s="31" t="s">
        <v>278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307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104</v>
      </c>
      <c r="B41" s="191" t="s">
        <v>324</v>
      </c>
      <c r="C41" s="191" t="s">
        <v>92</v>
      </c>
    </row>
    <row r="42" spans="1:36">
      <c r="A42" t="s">
        <v>116</v>
      </c>
      <c r="B42" s="72">
        <v>450</v>
      </c>
      <c r="C42" s="72">
        <v>450</v>
      </c>
    </row>
    <row r="43" spans="1:36">
      <c r="A43" t="s">
        <v>118</v>
      </c>
      <c r="B43" s="72">
        <v>450</v>
      </c>
      <c r="C43" s="72">
        <v>250</v>
      </c>
    </row>
    <row r="44" spans="1:36">
      <c r="A44" t="s">
        <v>308</v>
      </c>
      <c r="B44" s="72">
        <v>50000</v>
      </c>
      <c r="C44" s="72">
        <v>200000</v>
      </c>
    </row>
    <row r="45" spans="1:36">
      <c r="A45" t="s">
        <v>311</v>
      </c>
      <c r="B45" s="72">
        <v>25000</v>
      </c>
      <c r="C45" s="72">
        <v>50000</v>
      </c>
    </row>
    <row r="46" spans="1:36">
      <c r="A46" t="s">
        <v>312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314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285</v>
      </c>
      <c r="E52" s="12" t="s">
        <v>285</v>
      </c>
      <c r="F52" s="12" t="s">
        <v>285</v>
      </c>
      <c r="G52" s="12" t="s">
        <v>326</v>
      </c>
      <c r="H52" s="12" t="s">
        <v>327</v>
      </c>
      <c r="I52" s="12" t="s">
        <v>140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244</v>
      </c>
      <c r="E53" s="10" t="s">
        <v>203</v>
      </c>
      <c r="F53" s="10" t="s">
        <v>263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324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324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324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324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324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324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324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181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240</v>
      </c>
      <c r="J76" s="11" t="s">
        <v>360</v>
      </c>
      <c r="K76" s="11" t="s">
        <v>193</v>
      </c>
      <c r="AJ76" s="12"/>
    </row>
    <row r="77" spans="1:36">
      <c r="A77" t="s">
        <v>92</v>
      </c>
      <c r="B77" s="176">
        <v>0</v>
      </c>
      <c r="C77" s="12" t="s">
        <v>361</v>
      </c>
      <c r="E77" s="12" t="s">
        <v>324</v>
      </c>
      <c r="F77" s="12" t="s">
        <v>324</v>
      </c>
      <c r="G77" s="12" t="s">
        <v>362</v>
      </c>
      <c r="H77" s="12" t="s">
        <v>327</v>
      </c>
      <c r="I77" s="12" t="s">
        <v>363</v>
      </c>
      <c r="J77" s="136" t="s">
        <v>364</v>
      </c>
      <c r="K77" s="12" t="s">
        <v>324</v>
      </c>
      <c r="AJ77" s="12"/>
    </row>
    <row r="78" spans="1:36">
      <c r="A78" t="s">
        <v>324</v>
      </c>
      <c r="B78" s="176">
        <v>5</v>
      </c>
      <c r="C78" s="134" t="s">
        <v>102</v>
      </c>
      <c r="D78" s="133"/>
      <c r="E78" s="12" t="s">
        <v>365</v>
      </c>
      <c r="F78" s="12" t="s">
        <v>93</v>
      </c>
      <c r="G78" s="12" t="s">
        <v>119</v>
      </c>
      <c r="H78" s="12" t="s">
        <v>140</v>
      </c>
      <c r="I78" s="12" t="s">
        <v>366</v>
      </c>
      <c r="J78" s="70" t="s">
        <v>367</v>
      </c>
      <c r="K78" s="12" t="s">
        <v>324</v>
      </c>
      <c r="AJ78" s="12"/>
    </row>
    <row r="79" spans="1:36">
      <c r="B79" s="176">
        <v>10</v>
      </c>
      <c r="C79" s="12" t="s">
        <v>169</v>
      </c>
      <c r="D79" s="12">
        <v>1</v>
      </c>
      <c r="E79" s="12" t="s">
        <v>368</v>
      </c>
      <c r="F79" s="12" t="s">
        <v>369</v>
      </c>
      <c r="G79" s="12" t="s">
        <v>117</v>
      </c>
      <c r="I79" s="12" t="s">
        <v>181</v>
      </c>
      <c r="J79" s="70" t="s">
        <v>370</v>
      </c>
      <c r="K79" s="12" t="s">
        <v>324</v>
      </c>
      <c r="AJ79" s="12"/>
    </row>
    <row r="80" spans="1:36">
      <c r="B80" s="176">
        <v>20</v>
      </c>
      <c r="C80" s="12" t="s">
        <v>168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167</v>
      </c>
      <c r="D81" s="12">
        <f>D80+1</f>
        <v>3</v>
      </c>
      <c r="J81" s="70" t="s">
        <v>101</v>
      </c>
      <c r="K81" s="12" t="s">
        <v>92</v>
      </c>
    </row>
    <row r="82" spans="1:36">
      <c r="B82" s="176">
        <v>40</v>
      </c>
      <c r="C82" s="12" t="s">
        <v>166</v>
      </c>
      <c r="D82" s="12">
        <f>D81+1</f>
        <v>4</v>
      </c>
      <c r="J82" s="70"/>
    </row>
    <row r="83" spans="1:36">
      <c r="B83" s="176">
        <v>50</v>
      </c>
      <c r="C83" s="12" t="s">
        <v>165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133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134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