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<sst xmlns="http://schemas.openxmlformats.org/spreadsheetml/2006/main" uniqueCount="369">
  <si>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</si>
  <si>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</si>
  <si>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</si>
  <si>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</si>
  <si>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</si>
  <si>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</si>
  <si>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</si>
  <si>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</si>
  <si>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</si>
  <si>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</si>
  <si>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</si>
  <si>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</si>
  <si>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</si>
  <si>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</si>
  <si>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</si>
  <si>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</si>
  <si>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</si>
  <si>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</si>
  <si>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</si>
  <si>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</si>
  <si>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</si>
  <si>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</si>
  <si>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</si>
  <si>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</si>
  <si>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</si>
  <si>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</si>
  <si>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</si>
  <si>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</si>
  <si>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</si>
  <si>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</si>
  <si>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</si>
  <si>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</si>
  <si>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</si>
  <si>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</si>
  <si>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</si>
  <si>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</si>
  <si>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</si>
  <si>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</si>
  <si>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</si>
  <si>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</si>
  <si>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</si>
  <si>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</si>
  <si>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</si>
  <si>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</si>
  <si>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</si>
  <si>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</si>
  <si>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</si>
  <si>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</si>
  <si>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</si>
  <si>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</si>
  <si>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</si>
  <si>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</si>
  <si>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</si>
  <si>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</si>
  <si>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</si>
  <si>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</si>
  <si>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</si>
  <si>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</si>
  <si>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</si>
  <si>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</si>
  <si>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</si>
  <si>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</si>
  <si>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</si>
  <si>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</si>
  <si>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</si>
  <si>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</si>
  <si>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</si>
  <si>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</si>
  <si>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</si>
  <si>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</si>
  <si>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</si>
  <si>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</si>
  <si>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</si>
  <si>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</si>
  <si>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</si>
  <si>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</si>
  <si>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</si>
  <si>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</si>
  <si>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</si>
  <si>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</si>
  <si>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</si>
  <si>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</si>
  <si>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</si>
  <si>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</si>
  <si>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</si>
  <si>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</si>
  <si>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</si>
  <si>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</si>
  <si>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</si>
  <si>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</si>
  <si>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</si>
  <si>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</si>
  <si>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</si>
  <si>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Yes without the use of a pump</t>
  </si>
  <si>
    <t>no planting_trees are mature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</si>
  <si>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</si>
  <si>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</si>
  <si>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</si>
  <si>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</si>
  <si>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</si>
  <si>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</si>
  <si>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</si>
  <si>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</si>
  <si>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</si>
  <si>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</si>
  <si>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</si>
  <si>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</si>
  <si>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</si>
  <si>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</si>
  <si>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</si>
  <si>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</si>
  <si>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</si>
  <si>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</si>
  <si>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</si>
  <si>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Transport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</si>
  <si>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</si>
  <si>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</si>
  <si>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</si>
  <si>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</si>
  <si>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</si>
  <si>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</si>
  <si>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</si>
  <si>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</si>
  <si>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</si>
  <si>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</si>
  <si>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</si>
  <si>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</si>
  <si>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</si>
  <si>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</si>
  <si>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</si>
  <si>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</si>
  <si>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</si>
  <si>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</si>
  <si>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</si>
  <si>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</si>
  <si>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</si>
  <si>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</si>
  <si>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</si>
  <si>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</si>
  <si>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</si>
  <si>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</si>
  <si>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</si>
  <si>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12/5/2014</t>
  </si>
  <si>
    <t>Equity bank</t>
  </si>
  <si>
    <t>No</t>
  </si>
  <si>
    <t>Loan repayment delayed by sacco which pays the loan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</si>
  <si>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</si>
  <si>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</si>
  <si>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</si>
  <si>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</si>
  <si>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</si>
  <si>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</si>
  <si>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</si>
  <si>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</si>
  <si>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</si>
  <si>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</si>
  <si>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</si>
  <si>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</si>
  <si>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2017/6/16</t>
  </si>
  <si>
    <t>Loan terms</t>
  </si>
  <si>
    <t>Expected disbursement date</t>
  </si>
  <si>
    <t>Expected first repayment date</t>
  </si>
  <si>
    <t>2017/7/16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</si>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</sst>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July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Transport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2018</v>
      </c>
    </row>
    <row r="13" spans="1:7">
      <c r="B13" s="1" t="s">
        <v>8</v>
      </c>
      <c r="C13" s="67">
        <f>IFERROR(Output!B107/Output!B101,"")</f>
        <v>0.05835133998949028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-760329.9473684207</v>
      </c>
    </row>
    <row r="18" spans="1:7">
      <c r="B18" s="1" t="s">
        <v>12</v>
      </c>
      <c r="C18" s="36">
        <f>MIN(Output!B6:M6)</f>
        <v>-66636.31037972914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2017</v>
      </c>
    </row>
    <row r="20" spans="1:7">
      <c r="B20" s="1" t="s">
        <v>14</v>
      </c>
      <c r="C20" s="36">
        <f>MAX(Output!B6:M6)</f>
        <v>-27330.53319140017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3480000</v>
      </c>
    </row>
    <row r="25" spans="1:7">
      <c r="B25" s="1" t="s">
        <v>18</v>
      </c>
      <c r="C25" s="36">
        <f>MAX(Inputs!A56:A60)</f>
        <v>3480000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-66636.31037972914</v>
      </c>
      <c r="C6" s="51">
        <f>C30-C88</f>
        <v>-66636.31037972914</v>
      </c>
      <c r="D6" s="51">
        <f>D30-D88</f>
        <v>-66636.31037972914</v>
      </c>
      <c r="E6" s="51">
        <f>E30-E88</f>
        <v>-66636.31037972914</v>
      </c>
      <c r="F6" s="51">
        <f>F30-F88</f>
        <v>-66636.31037972914</v>
      </c>
      <c r="G6" s="51">
        <f>G30-G88</f>
        <v>-66636.31037972914</v>
      </c>
      <c r="H6" s="51">
        <f>H30-H88</f>
        <v>-66636.31037972914</v>
      </c>
      <c r="I6" s="51">
        <f>I30-I88</f>
        <v>-66636.31037972914</v>
      </c>
      <c r="J6" s="51">
        <f>J30-J88</f>
        <v>-66636.31037972914</v>
      </c>
      <c r="K6" s="51">
        <f>K30-K88</f>
        <v>-66636.31037972914</v>
      </c>
      <c r="L6" s="51">
        <f>L30-L88</f>
        <v>-66636.31037972914</v>
      </c>
      <c r="M6" s="51">
        <f>M30-M88</f>
        <v>-27330.53319140017</v>
      </c>
      <c r="N6" s="51">
        <f>N30-N88</f>
        <v>67974.6710526316</v>
      </c>
      <c r="O6" s="51">
        <f>O30-O88</f>
        <v>67974.6710526316</v>
      </c>
      <c r="P6" s="51">
        <f>P30-P88</f>
        <v>67974.6710526316</v>
      </c>
      <c r="Q6" s="51">
        <f>Q30-Q88</f>
        <v>67974.6710526316</v>
      </c>
      <c r="R6" s="51">
        <f>R30-R88</f>
        <v>67974.6710526316</v>
      </c>
      <c r="S6" s="51">
        <f>S30-S88</f>
        <v>67974.6710526316</v>
      </c>
      <c r="T6" s="51">
        <f>T30-T88</f>
        <v>67974.6710526316</v>
      </c>
      <c r="U6" s="51">
        <f>U30-U88</f>
        <v>67974.6710526316</v>
      </c>
      <c r="V6" s="51">
        <f>V30-V88</f>
        <v>67974.6710526316</v>
      </c>
      <c r="W6" s="51">
        <f>W30-W88</f>
        <v>67974.6710526316</v>
      </c>
      <c r="X6" s="51">
        <f>X30-X88</f>
        <v>67974.6710526316</v>
      </c>
      <c r="Y6" s="51">
        <f>Y30-Y88</f>
        <v>67974.6710526316</v>
      </c>
      <c r="Z6" s="51">
        <f>SUMIF($B$13:$Y$13,"Yes",B6:Y6)</f>
        <v>-692355.2763157891</v>
      </c>
      <c r="AA6" s="51">
        <f>AA30-AA88</f>
        <v>-760329.9473684207</v>
      </c>
      <c r="AB6" s="51">
        <f>AB30-AB88</f>
        <v>55366.1052631624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110000</v>
      </c>
      <c r="D7" s="80">
        <f>IF(ISERROR(VLOOKUP(MONTH(D5),Inputs!$D$66:$D$71,1,0)),"",INDEX(Inputs!$B$66:$B$71,MATCH(MONTH(Output!D5),Inputs!$D$66:$D$71,0))-INDEX(Inputs!$C$66:$C$71,MATCH(MONTH(Output!D5),Inputs!$D$66:$D$71,0)))</f>
        <v>110000</v>
      </c>
      <c r="E7" s="80">
        <f>IF(ISERROR(VLOOKUP(MONTH(E5),Inputs!$D$66:$D$71,1,0)),"",INDEX(Inputs!$B$66:$B$71,MATCH(MONTH(Output!E5),Inputs!$D$66:$D$71,0))-INDEX(Inputs!$C$66:$C$71,MATCH(MONTH(Output!E5),Inputs!$D$66:$D$71,0)))</f>
        <v>137000</v>
      </c>
      <c r="F7" s="80">
        <f>IF(ISERROR(VLOOKUP(MONTH(F5),Inputs!$D$66:$D$71,1,0)),"",INDEX(Inputs!$B$66:$B$71,MATCH(MONTH(Output!F5),Inputs!$D$66:$D$71,0))-INDEX(Inputs!$C$66:$C$71,MATCH(MONTH(Output!F5),Inputs!$D$66:$D$71,0)))</f>
        <v>137000</v>
      </c>
      <c r="G7" s="80">
        <f>IF(ISERROR(VLOOKUP(MONTH(G5),Inputs!$D$66:$D$71,1,0)),"",INDEX(Inputs!$B$66:$B$71,MATCH(MONTH(Output!G5),Inputs!$D$66:$D$71,0))-INDEX(Inputs!$C$66:$C$71,MATCH(MONTH(Output!G5),Inputs!$D$66:$D$71,0)))</f>
        <v>137000</v>
      </c>
      <c r="H7" s="80">
        <f>IF(ISERROR(VLOOKUP(MONTH(H5),Inputs!$D$66:$D$71,1,0)),"",INDEX(Inputs!$B$66:$B$71,MATCH(MONTH(Output!H5),Inputs!$D$66:$D$71,0))-INDEX(Inputs!$C$66:$C$71,MATCH(MONTH(Output!H5),Inputs!$D$66:$D$71,0)))</f>
        <v>137000</v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110000</v>
      </c>
      <c r="P7" s="80">
        <f>IF(ISERROR(VLOOKUP(MONTH(P5),Inputs!$D$66:$D$71,1,0)),"",INDEX(Inputs!$B$66:$B$71,MATCH(MONTH(Output!P5),Inputs!$D$66:$D$71,0))-INDEX(Inputs!$C$66:$C$71,MATCH(MONTH(Output!P5),Inputs!$D$66:$D$71,0)))</f>
        <v>110000</v>
      </c>
      <c r="Q7" s="80">
        <f>IF(ISERROR(VLOOKUP(MONTH(Q5),Inputs!$D$66:$D$71,1,0)),"",INDEX(Inputs!$B$66:$B$71,MATCH(MONTH(Output!Q5),Inputs!$D$66:$D$71,0))-INDEX(Inputs!$C$66:$C$71,MATCH(MONTH(Output!Q5),Inputs!$D$66:$D$71,0)))</f>
        <v>137000</v>
      </c>
      <c r="R7" s="80">
        <f>IF(ISERROR(VLOOKUP(MONTH(R5),Inputs!$D$66:$D$71,1,0)),"",INDEX(Inputs!$B$66:$B$71,MATCH(MONTH(Output!R5),Inputs!$D$66:$D$71,0))-INDEX(Inputs!$C$66:$C$71,MATCH(MONTH(Output!R5),Inputs!$D$66:$D$71,0)))</f>
        <v>137000</v>
      </c>
      <c r="S7" s="80">
        <f>IF(ISERROR(VLOOKUP(MONTH(S5),Inputs!$D$66:$D$71,1,0)),"",INDEX(Inputs!$B$66:$B$71,MATCH(MONTH(Output!S5),Inputs!$D$66:$D$71,0))-INDEX(Inputs!$C$66:$C$71,MATCH(MONTH(Output!S5),Inputs!$D$66:$D$71,0)))</f>
        <v>137000</v>
      </c>
      <c r="T7" s="80">
        <f>IF(ISERROR(VLOOKUP(MONTH(T5),Inputs!$D$66:$D$71,1,0)),"",INDEX(Inputs!$B$66:$B$71,MATCH(MONTH(Output!T5),Inputs!$D$66:$D$71,0))-INDEX(Inputs!$C$66:$C$71,MATCH(MONTH(Output!T5),Inputs!$D$66:$D$71,0)))</f>
        <v>137000</v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233363.6896202709</v>
      </c>
      <c r="C11" s="80">
        <f>C6+C9-C10</f>
        <v>-96636.31037972914</v>
      </c>
      <c r="D11" s="80">
        <f>D6+D9-D10</f>
        <v>-96636.31037972914</v>
      </c>
      <c r="E11" s="80">
        <f>E6+E9-E10</f>
        <v>-96636.31037972914</v>
      </c>
      <c r="F11" s="80">
        <f>F6+F9-F10</f>
        <v>-96636.31037972914</v>
      </c>
      <c r="G11" s="80">
        <f>G6+G9-G10</f>
        <v>-96636.31037972914</v>
      </c>
      <c r="H11" s="80">
        <f>H6+H9-H10</f>
        <v>-96636.31037972914</v>
      </c>
      <c r="I11" s="80">
        <f>I6+I9-I10</f>
        <v>-96636.31037972914</v>
      </c>
      <c r="J11" s="80">
        <f>J6+J9-J10</f>
        <v>-96636.31037972914</v>
      </c>
      <c r="K11" s="80">
        <f>K6+K9-K10</f>
        <v>-96636.31037972914</v>
      </c>
      <c r="L11" s="80">
        <f>L6+L9-L10</f>
        <v>-96636.31037972914</v>
      </c>
      <c r="M11" s="80">
        <f>M6+M9-M10</f>
        <v>-57330.53319140017</v>
      </c>
      <c r="N11" s="80">
        <f>N6+N9-N10</f>
        <v>37974.6710526316</v>
      </c>
      <c r="O11" s="80">
        <f>O6+O9-O10</f>
        <v>67974.6710526316</v>
      </c>
      <c r="P11" s="80">
        <f>P6+P9-P10</f>
        <v>67974.6710526316</v>
      </c>
      <c r="Q11" s="80">
        <f>Q6+Q9-Q10</f>
        <v>67974.6710526316</v>
      </c>
      <c r="R11" s="80">
        <f>R6+R9-R10</f>
        <v>67974.6710526316</v>
      </c>
      <c r="S11" s="80">
        <f>S6+S9-S10</f>
        <v>67974.6710526316</v>
      </c>
      <c r="T11" s="80">
        <f>T6+T9-T10</f>
        <v>67974.6710526316</v>
      </c>
      <c r="U11" s="80">
        <f>U6+U9-U10</f>
        <v>67974.6710526316</v>
      </c>
      <c r="V11" s="80">
        <f>V6+V9-V10</f>
        <v>67974.6710526316</v>
      </c>
      <c r="W11" s="80">
        <f>W6+W9-W10</f>
        <v>67974.6710526316</v>
      </c>
      <c r="X11" s="80">
        <f>X6+X9-X10</f>
        <v>67974.6710526316</v>
      </c>
      <c r="Y11" s="80">
        <f>Y6+Y9-Y10</f>
        <v>67974.6710526316</v>
      </c>
      <c r="Z11" s="85">
        <f>SUMIF($B$13:$Y$13,"Yes",B11:Y11)</f>
        <v>-752355.2763157891</v>
      </c>
      <c r="AA11" s="80">
        <f>SUM(B11:M11)</f>
        <v>-790329.9473684207</v>
      </c>
      <c r="AB11" s="46">
        <f>SUM(B11:Y11)</f>
        <v>-4633.89473684167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0.179934454296905</v>
      </c>
      <c r="D12" s="82">
        <f>IF(D13="Yes",IF(SUM($B$10:D10)/(SUM($B$6:D6)+SUM($B$9:D9))&lt;0,999.99,SUM($B$10:D10)/(SUM($B$6:D6)+SUM($B$9:D9))),"")</f>
        <v>0.5994540839946116</v>
      </c>
      <c r="E12" s="82">
        <f>IF(E13="Yes",IF(SUM($B$10:E10)/(SUM($B$6:E6)+SUM($B$9:E9))&lt;0,999.99,SUM($B$10:E10)/(SUM($B$6:E6)+SUM($B$9:E9))),"")</f>
        <v>2.690200261074649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108000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45384.86842105263</v>
      </c>
      <c r="C24" s="36">
        <f>IFERROR(Calculations!$P14/12,"")</f>
        <v>45384.86842105263</v>
      </c>
      <c r="D24" s="36">
        <f>IFERROR(Calculations!$P14/12,"")</f>
        <v>45384.86842105263</v>
      </c>
      <c r="E24" s="36">
        <f>IFERROR(Calculations!$P14/12,"")</f>
        <v>45384.86842105263</v>
      </c>
      <c r="F24" s="36">
        <f>IFERROR(Calculations!$P14/12,"")</f>
        <v>45384.86842105263</v>
      </c>
      <c r="G24" s="36">
        <f>IFERROR(Calculations!$P14/12,"")</f>
        <v>45384.86842105263</v>
      </c>
      <c r="H24" s="36">
        <f>IFERROR(Calculations!$P14/12,"")</f>
        <v>45384.86842105263</v>
      </c>
      <c r="I24" s="36">
        <f>IFERROR(Calculations!$P14/12,"")</f>
        <v>45384.86842105263</v>
      </c>
      <c r="J24" s="36">
        <f>IFERROR(Calculations!$P14/12,"")</f>
        <v>45384.86842105263</v>
      </c>
      <c r="K24" s="36">
        <f>IFERROR(Calculations!$P14/12,"")</f>
        <v>45384.86842105263</v>
      </c>
      <c r="L24" s="36">
        <f>IFERROR(Calculations!$P14/12,"")</f>
        <v>45384.86842105263</v>
      </c>
      <c r="M24" s="36">
        <f>IFERROR(Calculations!$P14/12,"")</f>
        <v>45384.86842105263</v>
      </c>
      <c r="N24" s="36">
        <f>IFERROR(Calculations!$P14/12,"")</f>
        <v>45384.86842105263</v>
      </c>
      <c r="O24" s="36">
        <f>IFERROR(Calculations!$P14/12,"")</f>
        <v>45384.86842105263</v>
      </c>
      <c r="P24" s="36">
        <f>IFERROR(Calculations!$P14/12,"")</f>
        <v>45384.86842105263</v>
      </c>
      <c r="Q24" s="36">
        <f>IFERROR(Calculations!$P14/12,"")</f>
        <v>45384.86842105263</v>
      </c>
      <c r="R24" s="36">
        <f>IFERROR(Calculations!$P14/12,"")</f>
        <v>45384.86842105263</v>
      </c>
      <c r="S24" s="36">
        <f>IFERROR(Calculations!$P14/12,"")</f>
        <v>45384.86842105263</v>
      </c>
      <c r="T24" s="36">
        <f>IFERROR(Calculations!$P14/12,"")</f>
        <v>45384.86842105263</v>
      </c>
      <c r="U24" s="36">
        <f>IFERROR(Calculations!$P14/12,"")</f>
        <v>45384.86842105263</v>
      </c>
      <c r="V24" s="36">
        <f>IFERROR(Calculations!$P14/12,"")</f>
        <v>45384.86842105263</v>
      </c>
      <c r="W24" s="36">
        <f>IFERROR(Calculations!$P14/12,"")</f>
        <v>45384.86842105263</v>
      </c>
      <c r="X24" s="36">
        <f>IFERROR(Calculations!$P14/12,"")</f>
        <v>45384.86842105263</v>
      </c>
      <c r="Y24" s="36">
        <f>IFERROR(Calculations!$P14/12,"")</f>
        <v>45384.86842105263</v>
      </c>
      <c r="Z24" s="36">
        <f>SUMIF($B$13:$Y$13,"Yes",B24:Y24)</f>
        <v>590003.2894736842</v>
      </c>
      <c r="AA24" s="36">
        <f>SUM(B24:M24)</f>
        <v>544618.4210526316</v>
      </c>
      <c r="AB24" s="46">
        <f>SUM(B24:Y24)</f>
        <v>1089236.842105263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240000</v>
      </c>
      <c r="C29" s="37">
        <f>Inputs!$B$30</f>
        <v>240000</v>
      </c>
      <c r="D29" s="37">
        <f>Inputs!$B$30</f>
        <v>240000</v>
      </c>
      <c r="E29" s="37">
        <f>Inputs!$B$30</f>
        <v>240000</v>
      </c>
      <c r="F29" s="37">
        <f>Inputs!$B$30</f>
        <v>240000</v>
      </c>
      <c r="G29" s="37">
        <f>Inputs!$B$30</f>
        <v>240000</v>
      </c>
      <c r="H29" s="37">
        <f>Inputs!$B$30</f>
        <v>240000</v>
      </c>
      <c r="I29" s="37">
        <f>Inputs!$B$30</f>
        <v>240000</v>
      </c>
      <c r="J29" s="37">
        <f>Inputs!$B$30</f>
        <v>240000</v>
      </c>
      <c r="K29" s="37">
        <f>Inputs!$B$30</f>
        <v>240000</v>
      </c>
      <c r="L29" s="37">
        <f>Inputs!$B$30</f>
        <v>240000</v>
      </c>
      <c r="M29" s="37">
        <f>Inputs!$B$30</f>
        <v>240000</v>
      </c>
      <c r="N29" s="37">
        <f>Inputs!$B$30</f>
        <v>240000</v>
      </c>
      <c r="O29" s="37">
        <f>Inputs!$B$30</f>
        <v>240000</v>
      </c>
      <c r="P29" s="37">
        <f>Inputs!$B$30</f>
        <v>240000</v>
      </c>
      <c r="Q29" s="37">
        <f>Inputs!$B$30</f>
        <v>240000</v>
      </c>
      <c r="R29" s="37">
        <f>Inputs!$B$30</f>
        <v>240000</v>
      </c>
      <c r="S29" s="37">
        <f>Inputs!$B$30</f>
        <v>240000</v>
      </c>
      <c r="T29" s="37">
        <f>Inputs!$B$30</f>
        <v>240000</v>
      </c>
      <c r="U29" s="37">
        <f>Inputs!$B$30</f>
        <v>240000</v>
      </c>
      <c r="V29" s="37">
        <f>Inputs!$B$30</f>
        <v>240000</v>
      </c>
      <c r="W29" s="37">
        <f>Inputs!$B$30</f>
        <v>240000</v>
      </c>
      <c r="X29" s="37">
        <f>Inputs!$B$30</f>
        <v>240000</v>
      </c>
      <c r="Y29" s="37">
        <f>Inputs!$B$30</f>
        <v>240000</v>
      </c>
      <c r="Z29" s="37">
        <f>SUMIF($B$13:$Y$13,"Yes",B29:Y29)</f>
        <v>3120000</v>
      </c>
      <c r="AA29" s="37">
        <f>SUM(B29:M29)</f>
        <v>2880000</v>
      </c>
      <c r="AB29" s="37">
        <f>SUM(B29:Y29)</f>
        <v>5760000</v>
      </c>
    </row>
    <row r="30" spans="1:30" customHeight="1" ht="15.75">
      <c r="A30" s="1" t="s">
        <v>37</v>
      </c>
      <c r="B30" s="19">
        <f>SUM(B18:B29)</f>
        <v>285384.8684210526</v>
      </c>
      <c r="C30" s="19">
        <f>SUM(C18:C29)</f>
        <v>285384.8684210526</v>
      </c>
      <c r="D30" s="19">
        <f>SUM(D18:D29)</f>
        <v>285384.8684210526</v>
      </c>
      <c r="E30" s="19">
        <f>SUM(E18:E29)</f>
        <v>285384.8684210526</v>
      </c>
      <c r="F30" s="19">
        <f>SUM(F18:F29)</f>
        <v>285384.8684210526</v>
      </c>
      <c r="G30" s="19">
        <f>SUM(G18:G29)</f>
        <v>285384.8684210526</v>
      </c>
      <c r="H30" s="19">
        <f>SUM(H18:H29)</f>
        <v>285384.8684210526</v>
      </c>
      <c r="I30" s="19">
        <f>SUM(I18:I29)</f>
        <v>285384.8684210526</v>
      </c>
      <c r="J30" s="19">
        <f>SUM(J18:J29)</f>
        <v>285384.8684210526</v>
      </c>
      <c r="K30" s="19">
        <f>SUM(K18:K29)</f>
        <v>285384.8684210526</v>
      </c>
      <c r="L30" s="19">
        <f>SUM(L18:L29)</f>
        <v>285384.8684210526</v>
      </c>
      <c r="M30" s="19">
        <f>SUM(M18:M29)</f>
        <v>285384.8684210526</v>
      </c>
      <c r="N30" s="19">
        <f>SUM(N18:N29)</f>
        <v>285384.8684210526</v>
      </c>
      <c r="O30" s="19">
        <f>SUM(O18:O29)</f>
        <v>285384.8684210526</v>
      </c>
      <c r="P30" s="19">
        <f>SUM(P18:P29)</f>
        <v>285384.8684210526</v>
      </c>
      <c r="Q30" s="19">
        <f>SUM(Q18:Q29)</f>
        <v>285384.8684210526</v>
      </c>
      <c r="R30" s="19">
        <f>SUM(R18:R29)</f>
        <v>285384.8684210526</v>
      </c>
      <c r="S30" s="19">
        <f>SUM(S18:S29)</f>
        <v>285384.8684210526</v>
      </c>
      <c r="T30" s="19">
        <f>SUM(T18:T29)</f>
        <v>285384.8684210526</v>
      </c>
      <c r="U30" s="19">
        <f>SUM(U18:U29)</f>
        <v>285384.8684210526</v>
      </c>
      <c r="V30" s="19">
        <f>SUM(V18:V29)</f>
        <v>285384.8684210526</v>
      </c>
      <c r="W30" s="19">
        <f>SUM(W18:W29)</f>
        <v>285384.8684210526</v>
      </c>
      <c r="X30" s="19">
        <f>SUM(X18:X29)</f>
        <v>285384.8684210526</v>
      </c>
      <c r="Y30" s="19">
        <f>SUM(Y18:Y29)</f>
        <v>285384.8684210526</v>
      </c>
      <c r="Z30" s="19">
        <f>SUMIF($B$13:$Y$13,"Yes",B30:Y30)</f>
        <v>3710003.289473684</v>
      </c>
      <c r="AA30" s="19">
        <f>SUM(B30:M30)</f>
        <v>3424618.421052631</v>
      </c>
      <c r="AB30" s="19">
        <f>SUM(B30:Y30)</f>
        <v>6849236.842105263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6843.75</v>
      </c>
      <c r="C74" s="46">
        <f>SUM(Calculations!$Q$14:$Q$16)/12</f>
        <v>6843.75</v>
      </c>
      <c r="D74" s="46">
        <f>SUM(Calculations!$Q$14:$Q$16)/12</f>
        <v>6843.75</v>
      </c>
      <c r="E74" s="46">
        <f>SUM(Calculations!$Q$14:$Q$16)/12</f>
        <v>6843.75</v>
      </c>
      <c r="F74" s="46">
        <f>SUM(Calculations!$Q$14:$Q$16)/12</f>
        <v>6843.75</v>
      </c>
      <c r="G74" s="46">
        <f>SUM(Calculations!$Q$14:$Q$16)/12</f>
        <v>6843.75</v>
      </c>
      <c r="H74" s="46">
        <f>SUM(Calculations!$Q$14:$Q$16)/12</f>
        <v>6843.75</v>
      </c>
      <c r="I74" s="46">
        <f>SUM(Calculations!$Q$14:$Q$16)/12</f>
        <v>6843.75</v>
      </c>
      <c r="J74" s="46">
        <f>SUM(Calculations!$Q$14:$Q$16)/12</f>
        <v>6843.75</v>
      </c>
      <c r="K74" s="46">
        <f>SUM(Calculations!$Q$14:$Q$16)/12</f>
        <v>6843.75</v>
      </c>
      <c r="L74" s="46">
        <f>SUM(Calculations!$Q$14:$Q$16)/12</f>
        <v>6843.75</v>
      </c>
      <c r="M74" s="46">
        <f>SUM(Calculations!$Q$14:$Q$16)/12</f>
        <v>6843.75</v>
      </c>
      <c r="N74" s="46">
        <f>SUM(Calculations!$Q$14:$Q$16)/12</f>
        <v>6843.75</v>
      </c>
      <c r="O74" s="46">
        <f>SUM(Calculations!$Q$14:$Q$16)/12</f>
        <v>6843.75</v>
      </c>
      <c r="P74" s="46">
        <f>SUM(Calculations!$Q$14:$Q$16)/12</f>
        <v>6843.75</v>
      </c>
      <c r="Q74" s="46">
        <f>SUM(Calculations!$Q$14:$Q$16)/12</f>
        <v>6843.75</v>
      </c>
      <c r="R74" s="46">
        <f>SUM(Calculations!$Q$14:$Q$16)/12</f>
        <v>6843.75</v>
      </c>
      <c r="S74" s="46">
        <f>SUM(Calculations!$Q$14:$Q$16)/12</f>
        <v>6843.75</v>
      </c>
      <c r="T74" s="46">
        <f>SUM(Calculations!$Q$14:$Q$16)/12</f>
        <v>6843.75</v>
      </c>
      <c r="U74" s="46">
        <f>SUM(Calculations!$Q$14:$Q$16)/12</f>
        <v>6843.75</v>
      </c>
      <c r="V74" s="46">
        <f>SUM(Calculations!$Q$14:$Q$16)/12</f>
        <v>6843.75</v>
      </c>
      <c r="W74" s="46">
        <f>SUM(Calculations!$Q$14:$Q$16)/12</f>
        <v>6843.75</v>
      </c>
      <c r="X74" s="46">
        <f>SUM(Calculations!$Q$14:$Q$16)/12</f>
        <v>6843.75</v>
      </c>
      <c r="Y74" s="46">
        <f>SUM(Calculations!$Q$14:$Q$16)/12</f>
        <v>6843.75</v>
      </c>
      <c r="Z74" s="46">
        <f>SUMIF($B$13:$Y$13,"Yes",B74:Y74)</f>
        <v>88968.75</v>
      </c>
      <c r="AA74" s="46">
        <f>SUM(B74:M74)</f>
        <v>82125</v>
      </c>
      <c r="AB74" s="46">
        <f>SUM(B74:Y74)</f>
        <v>164250</v>
      </c>
    </row>
    <row r="75" spans="1:30">
      <c r="A75" s="16" t="s">
        <v>47</v>
      </c>
      <c r="B75" s="46">
        <f>SUM(Calculations!$R$14:$R$16)/12</f>
        <v>750</v>
      </c>
      <c r="C75" s="46">
        <f>SUM(Calculations!$R$14:$R$16)/12</f>
        <v>750</v>
      </c>
      <c r="D75" s="46">
        <f>SUM(Calculations!$R$14:$R$16)/12</f>
        <v>750</v>
      </c>
      <c r="E75" s="46">
        <f>SUM(Calculations!$R$14:$R$16)/12</f>
        <v>750</v>
      </c>
      <c r="F75" s="46">
        <f>SUM(Calculations!$R$14:$R$16)/12</f>
        <v>750</v>
      </c>
      <c r="G75" s="46">
        <f>SUM(Calculations!$R$14:$R$16)/12</f>
        <v>750</v>
      </c>
      <c r="H75" s="46">
        <f>SUM(Calculations!$R$14:$R$16)/12</f>
        <v>750</v>
      </c>
      <c r="I75" s="46">
        <f>SUM(Calculations!$R$14:$R$16)/12</f>
        <v>750</v>
      </c>
      <c r="J75" s="46">
        <f>SUM(Calculations!$R$14:$R$16)/12</f>
        <v>750</v>
      </c>
      <c r="K75" s="46">
        <f>SUM(Calculations!$R$14:$R$16)/12</f>
        <v>750</v>
      </c>
      <c r="L75" s="46">
        <f>SUM(Calculations!$R$14:$R$16)/12</f>
        <v>750</v>
      </c>
      <c r="M75" s="46">
        <f>SUM(Calculations!$R$14:$R$16)/12</f>
        <v>750</v>
      </c>
      <c r="N75" s="46">
        <f>SUM(Calculations!$R$14:$R$16)/12</f>
        <v>750</v>
      </c>
      <c r="O75" s="46">
        <f>SUM(Calculations!$R$14:$R$16)/12</f>
        <v>750</v>
      </c>
      <c r="P75" s="46">
        <f>SUM(Calculations!$R$14:$R$16)/12</f>
        <v>750</v>
      </c>
      <c r="Q75" s="46">
        <f>SUM(Calculations!$R$14:$R$16)/12</f>
        <v>750</v>
      </c>
      <c r="R75" s="46">
        <f>SUM(Calculations!$R$14:$R$16)/12</f>
        <v>750</v>
      </c>
      <c r="S75" s="46">
        <f>SUM(Calculations!$R$14:$R$16)/12</f>
        <v>750</v>
      </c>
      <c r="T75" s="46">
        <f>SUM(Calculations!$R$14:$R$16)/12</f>
        <v>750</v>
      </c>
      <c r="U75" s="46">
        <f>SUM(Calculations!$R$14:$R$16)/12</f>
        <v>750</v>
      </c>
      <c r="V75" s="46">
        <f>SUM(Calculations!$R$14:$R$16)/12</f>
        <v>750</v>
      </c>
      <c r="W75" s="46">
        <f>SUM(Calculations!$R$14:$R$16)/12</f>
        <v>750</v>
      </c>
      <c r="X75" s="46">
        <f>SUM(Calculations!$R$14:$R$16)/12</f>
        <v>750</v>
      </c>
      <c r="Y75" s="46">
        <f>SUM(Calculations!$R$14:$R$16)/12</f>
        <v>750</v>
      </c>
      <c r="Z75" s="46">
        <f>SUMIF($B$13:$Y$13,"Yes",B75:Y75)</f>
        <v>9750</v>
      </c>
      <c r="AA75" s="46">
        <f>SUM(B75:M75)</f>
        <v>9000</v>
      </c>
      <c r="AB75" s="46">
        <f>SUM(B75:Y75)</f>
        <v>18000</v>
      </c>
    </row>
    <row r="76" spans="1:30">
      <c r="A76" s="16" t="s">
        <v>48</v>
      </c>
      <c r="B76" s="46">
        <f>SUM(Calculations!$S$14:$S$16)/12</f>
        <v>4500</v>
      </c>
      <c r="C76" s="46">
        <f>SUM(Calculations!$S$14:$S$16)/12</f>
        <v>4500</v>
      </c>
      <c r="D76" s="46">
        <f>SUM(Calculations!$S$14:$S$16)/12</f>
        <v>4500</v>
      </c>
      <c r="E76" s="46">
        <f>SUM(Calculations!$S$14:$S$16)/12</f>
        <v>4500</v>
      </c>
      <c r="F76" s="46">
        <f>SUM(Calculations!$S$14:$S$16)/12</f>
        <v>4500</v>
      </c>
      <c r="G76" s="46">
        <f>SUM(Calculations!$S$14:$S$16)/12</f>
        <v>4500</v>
      </c>
      <c r="H76" s="46">
        <f>SUM(Calculations!$S$14:$S$16)/12</f>
        <v>4500</v>
      </c>
      <c r="I76" s="46">
        <f>SUM(Calculations!$S$14:$S$16)/12</f>
        <v>4500</v>
      </c>
      <c r="J76" s="46">
        <f>SUM(Calculations!$S$14:$S$16)/12</f>
        <v>4500</v>
      </c>
      <c r="K76" s="46">
        <f>SUM(Calculations!$S$14:$S$16)/12</f>
        <v>4500</v>
      </c>
      <c r="L76" s="46">
        <f>SUM(Calculations!$S$14:$S$16)/12</f>
        <v>4500</v>
      </c>
      <c r="M76" s="46">
        <f>SUM(Calculations!$S$14:$S$16)/12</f>
        <v>4500</v>
      </c>
      <c r="N76" s="46">
        <f>SUM(Calculations!$S$14:$S$16)/12</f>
        <v>4500</v>
      </c>
      <c r="O76" s="46">
        <f>SUM(Calculations!$S$14:$S$16)/12</f>
        <v>4500</v>
      </c>
      <c r="P76" s="46">
        <f>SUM(Calculations!$S$14:$S$16)/12</f>
        <v>4500</v>
      </c>
      <c r="Q76" s="46">
        <f>SUM(Calculations!$S$14:$S$16)/12</f>
        <v>4500</v>
      </c>
      <c r="R76" s="46">
        <f>SUM(Calculations!$S$14:$S$16)/12</f>
        <v>4500</v>
      </c>
      <c r="S76" s="46">
        <f>SUM(Calculations!$S$14:$S$16)/12</f>
        <v>4500</v>
      </c>
      <c r="T76" s="46">
        <f>SUM(Calculations!$S$14:$S$16)/12</f>
        <v>4500</v>
      </c>
      <c r="U76" s="46">
        <f>SUM(Calculations!$S$14:$S$16)/12</f>
        <v>4500</v>
      </c>
      <c r="V76" s="46">
        <f>SUM(Calculations!$S$14:$S$16)/12</f>
        <v>4500</v>
      </c>
      <c r="W76" s="46">
        <f>SUM(Calculations!$S$14:$S$16)/12</f>
        <v>4500</v>
      </c>
      <c r="X76" s="46">
        <f>SUM(Calculations!$S$14:$S$16)/12</f>
        <v>4500</v>
      </c>
      <c r="Y76" s="46">
        <f>SUM(Calculations!$S$14:$S$16)/12</f>
        <v>4500</v>
      </c>
      <c r="Z76" s="46">
        <f>SUMIF($B$13:$Y$13,"Yes",B76:Y76)</f>
        <v>58500</v>
      </c>
      <c r="AA76" s="46">
        <f>SUM(B76:M76)</f>
        <v>54000</v>
      </c>
      <c r="AB76" s="46">
        <f>SUM(B76:Y76)</f>
        <v>108000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160000</v>
      </c>
      <c r="C79" s="46">
        <f>Inputs!$B$31</f>
        <v>160000</v>
      </c>
      <c r="D79" s="46">
        <f>Inputs!$B$31</f>
        <v>160000</v>
      </c>
      <c r="E79" s="46">
        <f>Inputs!$B$31</f>
        <v>160000</v>
      </c>
      <c r="F79" s="46">
        <f>Inputs!$B$31</f>
        <v>160000</v>
      </c>
      <c r="G79" s="46">
        <f>Inputs!$B$31</f>
        <v>160000</v>
      </c>
      <c r="H79" s="46">
        <f>Inputs!$B$31</f>
        <v>160000</v>
      </c>
      <c r="I79" s="46">
        <f>Inputs!$B$31</f>
        <v>160000</v>
      </c>
      <c r="J79" s="46">
        <f>Inputs!$B$31</f>
        <v>160000</v>
      </c>
      <c r="K79" s="46">
        <f>Inputs!$B$31</f>
        <v>160000</v>
      </c>
      <c r="L79" s="46">
        <f>Inputs!$B$31</f>
        <v>160000</v>
      </c>
      <c r="M79" s="46">
        <f>Inputs!$B$31</f>
        <v>160000</v>
      </c>
      <c r="N79" s="46">
        <f>Inputs!$B$31</f>
        <v>160000</v>
      </c>
      <c r="O79" s="46">
        <f>Inputs!$B$31</f>
        <v>160000</v>
      </c>
      <c r="P79" s="46">
        <f>Inputs!$B$31</f>
        <v>160000</v>
      </c>
      <c r="Q79" s="46">
        <f>Inputs!$B$31</f>
        <v>160000</v>
      </c>
      <c r="R79" s="46">
        <f>Inputs!$B$31</f>
        <v>160000</v>
      </c>
      <c r="S79" s="46">
        <f>Inputs!$B$31</f>
        <v>160000</v>
      </c>
      <c r="T79" s="46">
        <f>Inputs!$B$31</f>
        <v>160000</v>
      </c>
      <c r="U79" s="46">
        <f>Inputs!$B$31</f>
        <v>160000</v>
      </c>
      <c r="V79" s="46">
        <f>Inputs!$B$31</f>
        <v>160000</v>
      </c>
      <c r="W79" s="46">
        <f>Inputs!$B$31</f>
        <v>160000</v>
      </c>
      <c r="X79" s="46">
        <f>Inputs!$B$31</f>
        <v>160000</v>
      </c>
      <c r="Y79" s="46">
        <f>Inputs!$B$31</f>
        <v>160000</v>
      </c>
      <c r="Z79" s="46">
        <f>SUMIF($B$13:$Y$13,"Yes",B79:Y79)</f>
        <v>2080000</v>
      </c>
      <c r="AA79" s="46">
        <f>SUM(B79:M79)</f>
        <v>1920000</v>
      </c>
      <c r="AB79" s="46">
        <f>SUM(B79:Y79)</f>
        <v>3840000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45316.44736842105</v>
      </c>
      <c r="C81" s="46">
        <f>(SUM($AA$18:$AA$29)-SUM($AA$36,$AA$42,$AA$48,$AA$54,$AA$60,$AA$66,$AA$72:$AA$79))*Parameters!$B$37/12</f>
        <v>45316.44736842105</v>
      </c>
      <c r="D81" s="46">
        <f>(SUM($AA$18:$AA$29)-SUM($AA$36,$AA$42,$AA$48,$AA$54,$AA$60,$AA$66,$AA$72:$AA$79))*Parameters!$B$37/12</f>
        <v>45316.44736842105</v>
      </c>
      <c r="E81" s="46">
        <f>(SUM($AA$18:$AA$29)-SUM($AA$36,$AA$42,$AA$48,$AA$54,$AA$60,$AA$66,$AA$72:$AA$79))*Parameters!$B$37/12</f>
        <v>45316.44736842105</v>
      </c>
      <c r="F81" s="46">
        <f>(SUM($AA$18:$AA$29)-SUM($AA$36,$AA$42,$AA$48,$AA$54,$AA$60,$AA$66,$AA$72:$AA$79))*Parameters!$B$37/12</f>
        <v>45316.44736842105</v>
      </c>
      <c r="G81" s="46">
        <f>(SUM($AA$18:$AA$29)-SUM($AA$36,$AA$42,$AA$48,$AA$54,$AA$60,$AA$66,$AA$72:$AA$79))*Parameters!$B$37/12</f>
        <v>45316.44736842105</v>
      </c>
      <c r="H81" s="46">
        <f>(SUM($AA$18:$AA$29)-SUM($AA$36,$AA$42,$AA$48,$AA$54,$AA$60,$AA$66,$AA$72:$AA$79))*Parameters!$B$37/12</f>
        <v>45316.44736842105</v>
      </c>
      <c r="I81" s="46">
        <f>(SUM($AA$18:$AA$29)-SUM($AA$36,$AA$42,$AA$48,$AA$54,$AA$60,$AA$66,$AA$72:$AA$79))*Parameters!$B$37/12</f>
        <v>45316.44736842105</v>
      </c>
      <c r="J81" s="46">
        <f>(SUM($AA$18:$AA$29)-SUM($AA$36,$AA$42,$AA$48,$AA$54,$AA$60,$AA$66,$AA$72:$AA$79))*Parameters!$B$37/12</f>
        <v>45316.44736842105</v>
      </c>
      <c r="K81" s="46">
        <f>(SUM($AA$18:$AA$29)-SUM($AA$36,$AA$42,$AA$48,$AA$54,$AA$60,$AA$66,$AA$72:$AA$79))*Parameters!$B$37/12</f>
        <v>45316.44736842105</v>
      </c>
      <c r="L81" s="46">
        <f>(SUM($AA$18:$AA$29)-SUM($AA$36,$AA$42,$AA$48,$AA$54,$AA$60,$AA$66,$AA$72:$AA$79))*Parameters!$B$37/12</f>
        <v>45316.44736842105</v>
      </c>
      <c r="M81" s="46">
        <f>(SUM($AA$18:$AA$29)-SUM($AA$36,$AA$42,$AA$48,$AA$54,$AA$60,$AA$66,$AA$72:$AA$79))*Parameters!$B$37/12</f>
        <v>45316.44736842105</v>
      </c>
      <c r="N81" s="46">
        <f>(SUM($AA$18:$AA$29)-SUM($AA$36,$AA$42,$AA$48,$AA$54,$AA$60,$AA$66,$AA$72:$AA$79))*Parameters!$B$37/12</f>
        <v>45316.44736842105</v>
      </c>
      <c r="O81" s="46">
        <f>(SUM($AA$18:$AA$29)-SUM($AA$36,$AA$42,$AA$48,$AA$54,$AA$60,$AA$66,$AA$72:$AA$79))*Parameters!$B$37/12</f>
        <v>45316.44736842105</v>
      </c>
      <c r="P81" s="46">
        <f>(SUM($AA$18:$AA$29)-SUM($AA$36,$AA$42,$AA$48,$AA$54,$AA$60,$AA$66,$AA$72:$AA$79))*Parameters!$B$37/12</f>
        <v>45316.44736842105</v>
      </c>
      <c r="Q81" s="46">
        <f>(SUM($AA$18:$AA$29)-SUM($AA$36,$AA$42,$AA$48,$AA$54,$AA$60,$AA$66,$AA$72:$AA$79))*Parameters!$B$37/12</f>
        <v>45316.44736842105</v>
      </c>
      <c r="R81" s="46">
        <f>(SUM($AA$18:$AA$29)-SUM($AA$36,$AA$42,$AA$48,$AA$54,$AA$60,$AA$66,$AA$72:$AA$79))*Parameters!$B$37/12</f>
        <v>45316.44736842105</v>
      </c>
      <c r="S81" s="46">
        <f>(SUM($AA$18:$AA$29)-SUM($AA$36,$AA$42,$AA$48,$AA$54,$AA$60,$AA$66,$AA$72:$AA$79))*Parameters!$B$37/12</f>
        <v>45316.44736842105</v>
      </c>
      <c r="T81" s="46">
        <f>(SUM($AA$18:$AA$29)-SUM($AA$36,$AA$42,$AA$48,$AA$54,$AA$60,$AA$66,$AA$72:$AA$79))*Parameters!$B$37/12</f>
        <v>45316.44736842105</v>
      </c>
      <c r="U81" s="46">
        <f>(SUM($AA$18:$AA$29)-SUM($AA$36,$AA$42,$AA$48,$AA$54,$AA$60,$AA$66,$AA$72:$AA$79))*Parameters!$B$37/12</f>
        <v>45316.44736842105</v>
      </c>
      <c r="V81" s="46">
        <f>(SUM($AA$18:$AA$29)-SUM($AA$36,$AA$42,$AA$48,$AA$54,$AA$60,$AA$66,$AA$72:$AA$79))*Parameters!$B$37/12</f>
        <v>45316.44736842105</v>
      </c>
      <c r="W81" s="46">
        <f>(SUM($AA$18:$AA$29)-SUM($AA$36,$AA$42,$AA$48,$AA$54,$AA$60,$AA$66,$AA$72:$AA$79))*Parameters!$B$37/12</f>
        <v>45316.44736842105</v>
      </c>
      <c r="X81" s="46">
        <f>(SUM($AA$18:$AA$29)-SUM($AA$36,$AA$42,$AA$48,$AA$54,$AA$60,$AA$66,$AA$72:$AA$79))*Parameters!$B$37/12</f>
        <v>45316.44736842105</v>
      </c>
      <c r="Y81" s="46">
        <f>(SUM($AA$18:$AA$29)-SUM($AA$36,$AA$42,$AA$48,$AA$54,$AA$60,$AA$66,$AA$72:$AA$79))*Parameters!$B$37/12</f>
        <v>45316.44736842105</v>
      </c>
      <c r="Z81" s="46">
        <f>SUMIF($B$13:$Y$13,"Yes",B81:Y81)</f>
        <v>589113.8157894737</v>
      </c>
      <c r="AA81" s="46">
        <f>SUM(B81:M81)</f>
        <v>543797.3684210527</v>
      </c>
      <c r="AB81" s="46">
        <f>SUM(B81:Y81)</f>
        <v>1087594.736842105</v>
      </c>
    </row>
    <row r="82" spans="1:30">
      <c r="A82" s="16" t="s">
        <v>52</v>
      </c>
      <c r="B82" s="46">
        <f>SUM(B83:B87)</f>
        <v>134610.9814323607</v>
      </c>
      <c r="C82" s="46">
        <f>SUM(C83:C87)</f>
        <v>134610.9814323607</v>
      </c>
      <c r="D82" s="46">
        <f>SUM(D83:D87)</f>
        <v>134610.9814323607</v>
      </c>
      <c r="E82" s="46">
        <f>SUM(E83:E87)</f>
        <v>134610.9814323607</v>
      </c>
      <c r="F82" s="46">
        <f>SUM(F83:F87)</f>
        <v>134610.9814323607</v>
      </c>
      <c r="G82" s="46">
        <f>SUM(G83:G87)</f>
        <v>134610.9814323607</v>
      </c>
      <c r="H82" s="46">
        <f>SUM(H83:H87)</f>
        <v>134610.9814323607</v>
      </c>
      <c r="I82" s="46">
        <f>SUM(I83:I87)</f>
        <v>134610.9814323607</v>
      </c>
      <c r="J82" s="46">
        <f>SUM(J83:J87)</f>
        <v>134610.9814323607</v>
      </c>
      <c r="K82" s="46">
        <f>SUM(K83:K87)</f>
        <v>134610.9814323607</v>
      </c>
      <c r="L82" s="46">
        <f>SUM(L83:L87)</f>
        <v>134610.9814323607</v>
      </c>
      <c r="M82" s="46">
        <f>SUM(M83:M87)</f>
        <v>95305.2042440318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1576026</v>
      </c>
      <c r="AA82" s="46">
        <f>SUM(B82:M82)</f>
        <v>1576026</v>
      </c>
      <c r="AB82" s="46">
        <f>SUM(B82:Y82)</f>
        <v>1576026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134610.9814323607</v>
      </c>
      <c r="C83" s="46">
        <f>IF(Calculations!$E23&gt;COUNT(Output!$B$35:C$35),Calculations!$B23,IF(Calculations!$E23=COUNT(Output!$B$35:C$35),Inputs!$B56-Calculations!$C23*(Calculations!$E23-1)+Calculations!$D23,0))</f>
        <v>134610.9814323607</v>
      </c>
      <c r="D83" s="46">
        <f>IF(Calculations!$E23&gt;COUNT(Output!$B$35:D$35),Calculations!$B23,IF(Calculations!$E23=COUNT(Output!$B$35:D$35),Inputs!$B56-Calculations!$C23*(Calculations!$E23-1)+Calculations!$D23,0))</f>
        <v>134610.9814323607</v>
      </c>
      <c r="E83" s="46">
        <f>IF(Calculations!$E23&gt;COUNT(Output!$B$35:E$35),Calculations!$B23,IF(Calculations!$E23=COUNT(Output!$B$35:E$35),Inputs!$B56-Calculations!$C23*(Calculations!$E23-1)+Calculations!$D23,0))</f>
        <v>134610.9814323607</v>
      </c>
      <c r="F83" s="46">
        <f>IF(Calculations!$E23&gt;COUNT(Output!$B$35:F$35),Calculations!$B23,IF(Calculations!$E23=COUNT(Output!$B$35:F$35),Inputs!$B56-Calculations!$C23*(Calculations!$E23-1)+Calculations!$D23,0))</f>
        <v>134610.9814323607</v>
      </c>
      <c r="G83" s="46">
        <f>IF(Calculations!$E23&gt;COUNT(Output!$B$35:G$35),Calculations!$B23,IF(Calculations!$E23=COUNT(Output!$B$35:G$35),Inputs!$B56-Calculations!$C23*(Calculations!$E23-1)+Calculations!$D23,0))</f>
        <v>134610.9814323607</v>
      </c>
      <c r="H83" s="46">
        <f>IF(Calculations!$E23&gt;COUNT(Output!$B$35:H$35),Calculations!$B23,IF(Calculations!$E23=COUNT(Output!$B$35:H$35),Inputs!$B56-Calculations!$C23*(Calculations!$E23-1)+Calculations!$D23,0))</f>
        <v>134610.9814323607</v>
      </c>
      <c r="I83" s="46">
        <f>IF(Calculations!$E23&gt;COUNT(Output!$B$35:I$35),Calculations!$B23,IF(Calculations!$E23=COUNT(Output!$B$35:I$35),Inputs!$B56-Calculations!$C23*(Calculations!$E23-1)+Calculations!$D23,0))</f>
        <v>134610.9814323607</v>
      </c>
      <c r="J83" s="46">
        <f>IF(Calculations!$E23&gt;COUNT(Output!$B$35:J$35),Calculations!$B23,IF(Calculations!$E23=COUNT(Output!$B$35:J$35),Inputs!$B56-Calculations!$C23*(Calculations!$E23-1)+Calculations!$D23,0))</f>
        <v>134610.9814323607</v>
      </c>
      <c r="K83" s="46">
        <f>IF(Calculations!$E23&gt;COUNT(Output!$B$35:K$35),Calculations!$B23,IF(Calculations!$E23=COUNT(Output!$B$35:K$35),Inputs!$B56-Calculations!$C23*(Calculations!$E23-1)+Calculations!$D23,0))</f>
        <v>134610.9814323607</v>
      </c>
      <c r="L83" s="46">
        <f>IF(Calculations!$E23&gt;COUNT(Output!$B$35:L$35),Calculations!$B23,IF(Calculations!$E23=COUNT(Output!$B$35:L$35),Inputs!$B56-Calculations!$C23*(Calculations!$E23-1)+Calculations!$D23,0))</f>
        <v>134610.9814323607</v>
      </c>
      <c r="M83" s="46">
        <f>IF(Calculations!$E23&gt;COUNT(Output!$B$35:M$35),Calculations!$B23,IF(Calculations!$E23=COUNT(Output!$B$35:M$35),Inputs!$B56-Calculations!$C23*(Calculations!$E23-1)+Calculations!$D23,0))</f>
        <v>95305.2042440318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1576026</v>
      </c>
      <c r="AA83" s="46">
        <f>SUM(B83:M83)</f>
        <v>1576026</v>
      </c>
      <c r="AB83" s="46">
        <f>SUM(B83:Y83)</f>
        <v>1576026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352021.1788007818</v>
      </c>
      <c r="C88" s="19">
        <f>SUM(C72:C82,C66,C60,C54,C48,C42,C36)</f>
        <v>352021.1788007818</v>
      </c>
      <c r="D88" s="19">
        <f>SUM(D72:D82,D66,D60,D54,D48,D42,D36)</f>
        <v>352021.1788007818</v>
      </c>
      <c r="E88" s="19">
        <f>SUM(E72:E82,E66,E60,E54,E48,E42,E36)</f>
        <v>352021.1788007818</v>
      </c>
      <c r="F88" s="19">
        <f>SUM(F72:F82,F66,F60,F54,F48,F42,F36)</f>
        <v>352021.1788007818</v>
      </c>
      <c r="G88" s="19">
        <f>SUM(G72:G82,G66,G60,G54,G48,G42,G36)</f>
        <v>352021.1788007818</v>
      </c>
      <c r="H88" s="19">
        <f>SUM(H72:H82,H66,H60,H54,H48,H42,H36)</f>
        <v>352021.1788007818</v>
      </c>
      <c r="I88" s="19">
        <f>SUM(I72:I82,I66,I60,I54,I48,I42,I36)</f>
        <v>352021.1788007818</v>
      </c>
      <c r="J88" s="19">
        <f>SUM(J72:J82,J66,J60,J54,J48,J42,J36)</f>
        <v>352021.1788007818</v>
      </c>
      <c r="K88" s="19">
        <f>SUM(K72:K82,K66,K60,K54,K48,K42,K36)</f>
        <v>352021.1788007818</v>
      </c>
      <c r="L88" s="19">
        <f>SUM(L72:L82,L66,L60,L54,L48,L42,L36)</f>
        <v>352021.1788007818</v>
      </c>
      <c r="M88" s="19">
        <f>SUM(M72:M82,M66,M60,M54,M48,M42,M36)</f>
        <v>312715.4016124528</v>
      </c>
      <c r="N88" s="19">
        <f>SUM(N72:N82,N66,N60,N54,N48,N42,N36)</f>
        <v>217410.197368421</v>
      </c>
      <c r="O88" s="19">
        <f>SUM(O72:O82,O66,O60,O54,O48,O42,O36)</f>
        <v>217410.197368421</v>
      </c>
      <c r="P88" s="19">
        <f>SUM(P72:P82,P66,P60,P54,P48,P42,P36)</f>
        <v>217410.197368421</v>
      </c>
      <c r="Q88" s="19">
        <f>SUM(Q72:Q82,Q66,Q60,Q54,Q48,Q42,Q36)</f>
        <v>217410.197368421</v>
      </c>
      <c r="R88" s="19">
        <f>SUM(R72:R82,R66,R60,R54,R48,R42,R36)</f>
        <v>217410.197368421</v>
      </c>
      <c r="S88" s="19">
        <f>SUM(S72:S82,S66,S60,S54,S48,S42,S36)</f>
        <v>217410.197368421</v>
      </c>
      <c r="T88" s="19">
        <f>SUM(T72:T82,T66,T60,T54,T48,T42,T36)</f>
        <v>217410.197368421</v>
      </c>
      <c r="U88" s="19">
        <f>SUM(U72:U82,U66,U60,U54,U48,U42,U36)</f>
        <v>217410.197368421</v>
      </c>
      <c r="V88" s="19">
        <f>SUM(V72:V82,V66,V60,V54,V48,V42,V36)</f>
        <v>217410.197368421</v>
      </c>
      <c r="W88" s="19">
        <f>SUM(W72:W82,W66,W60,W54,W48,W42,W36)</f>
        <v>217410.197368421</v>
      </c>
      <c r="X88" s="19">
        <f>SUM(X72:X82,X66,X60,X54,X48,X42,X36)</f>
        <v>217410.197368421</v>
      </c>
      <c r="Y88" s="19">
        <f>SUM(Y72:Y82,Y66,Y60,Y54,Y48,Y42,Y36)</f>
        <v>217410.197368421</v>
      </c>
      <c r="Z88" s="19">
        <f>SUMIF($B$13:$Y$13,"Yes",B88:Y88)</f>
        <v>4402358.565789473</v>
      </c>
      <c r="AA88" s="19">
        <f>SUM(B88:M88)</f>
        <v>4184948.368421052</v>
      </c>
      <c r="AB88" s="19">
        <f>SUM(B88:Y88)</f>
        <v>6793870.736842101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1800000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16500000</v>
      </c>
    </row>
    <row r="98" spans="1:30">
      <c r="A98" t="s">
        <v>64</v>
      </c>
      <c r="B98" s="36">
        <f>IF(Inputs!B44="Yes",Inputs!B45,0)</f>
        <v>300000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300000</v>
      </c>
    </row>
    <row r="101" spans="1:30" customHeight="1" ht="15.75">
      <c r="A101" s="1" t="s">
        <v>67</v>
      </c>
      <c r="B101" s="19">
        <f>SUM(B94:B100)</f>
        <v>19030000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810426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1110426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9</v>
      </c>
      <c r="D19" s="145">
        <v>3</v>
      </c>
      <c r="E19" s="20"/>
      <c r="F19" s="145" t="s">
        <v>92</v>
      </c>
      <c r="G19" s="20"/>
      <c r="H19" s="20"/>
      <c r="I19" s="145" t="s">
        <v>109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30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240000</v>
      </c>
    </row>
    <row r="31" spans="1:48">
      <c r="A31" s="5" t="s">
        <v>116</v>
      </c>
      <c r="B31" s="158">
        <v>160000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300000</v>
      </c>
    </row>
    <row r="46" spans="1:48" customHeight="1" ht="30">
      <c r="A46" s="57" t="s">
        <v>130</v>
      </c>
      <c r="B46" s="161">
        <v>50000</v>
      </c>
    </row>
    <row r="47" spans="1:48" customHeight="1" ht="30">
      <c r="A47" s="57" t="s">
        <v>131</v>
      </c>
      <c r="B47" s="161">
        <v>50000</v>
      </c>
    </row>
    <row r="48" spans="1:48" customHeight="1" ht="30">
      <c r="A48" s="57" t="s">
        <v>132</v>
      </c>
      <c r="B48" s="161">
        <v>300000</v>
      </c>
    </row>
    <row r="49" spans="1:48" customHeight="1" ht="30">
      <c r="A49" s="57" t="s">
        <v>133</v>
      </c>
      <c r="B49" s="161">
        <v>30000</v>
      </c>
    </row>
    <row r="50" spans="1:48">
      <c r="A50" s="43"/>
      <c r="B50" s="36"/>
    </row>
    <row r="51" spans="1:48">
      <c r="A51" s="58" t="s">
        <v>134</v>
      </c>
      <c r="B51" s="161">
        <v>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3480000</v>
      </c>
      <c r="B56" s="159">
        <v>810426</v>
      </c>
      <c r="C56" s="162" t="s">
        <v>142</v>
      </c>
      <c r="D56" s="163" t="s">
        <v>143</v>
      </c>
      <c r="E56" s="163" t="s">
        <v>144</v>
      </c>
      <c r="F56" s="163" t="s">
        <v>145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147</v>
      </c>
      <c r="C65" s="10" t="s">
        <v>148</v>
      </c>
    </row>
    <row r="66" spans="1:48">
      <c r="A66" s="142" t="s">
        <v>149</v>
      </c>
      <c r="B66" s="159">
        <v>180000</v>
      </c>
      <c r="C66" s="163">
        <v>70000</v>
      </c>
      <c r="D66" s="49">
        <f>INDEX(Parameters!$D$79:$D$90,MATCH(Inputs!A66,Parameters!$C$79:$C$90,0))</f>
        <v>7</v>
      </c>
    </row>
    <row r="67" spans="1:48">
      <c r="A67" s="143" t="s">
        <v>150</v>
      </c>
      <c r="B67" s="157">
        <v>180000</v>
      </c>
      <c r="C67" s="165">
        <v>70000</v>
      </c>
      <c r="D67" s="49">
        <f>INDEX(Parameters!$D$79:$D$90,MATCH(Inputs!A67,Parameters!$C$79:$C$90,0))</f>
        <v>8</v>
      </c>
    </row>
    <row r="68" spans="1:48">
      <c r="A68" s="143" t="s">
        <v>151</v>
      </c>
      <c r="B68" s="157">
        <v>212000</v>
      </c>
      <c r="C68" s="165">
        <v>75000</v>
      </c>
      <c r="D68" s="49">
        <f>INDEX(Parameters!$D$79:$D$90,MATCH(Inputs!A68,Parameters!$C$79:$C$90,0))</f>
        <v>9</v>
      </c>
    </row>
    <row r="69" spans="1:48">
      <c r="A69" s="143" t="s">
        <v>152</v>
      </c>
      <c r="B69" s="157">
        <v>212000</v>
      </c>
      <c r="C69" s="165">
        <v>75000</v>
      </c>
      <c r="D69" s="49">
        <f>INDEX(Parameters!$D$79:$D$90,MATCH(Inputs!A69,Parameters!$C$79:$C$90,0))</f>
        <v>10</v>
      </c>
    </row>
    <row r="70" spans="1:48">
      <c r="A70" s="143" t="s">
        <v>153</v>
      </c>
      <c r="B70" s="157">
        <v>212000</v>
      </c>
      <c r="C70" s="165">
        <v>75000</v>
      </c>
      <c r="D70" s="49">
        <f>INDEX(Parameters!$D$79:$D$90,MATCH(Inputs!A70,Parameters!$C$79:$C$90,0))</f>
        <v>11</v>
      </c>
    </row>
    <row r="71" spans="1:48">
      <c r="A71" s="144" t="s">
        <v>154</v>
      </c>
      <c r="B71" s="158">
        <v>212000</v>
      </c>
      <c r="C71" s="167">
        <v>75000</v>
      </c>
      <c r="D71" s="49">
        <f>INDEX(Parameters!$D$79:$D$90,MATCH(Inputs!A71,Parameters!$C$79:$C$90,0))</f>
        <v>12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9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300000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6</v>
      </c>
      <c r="AD5" s="22">
        <f>IF($A5=0,1/12,IFERROR(INDEX(Parameters!$X$2:$AI$17,MATCH(Calculations!$A5,Parameters!$A$2:$A$17,0),MONTH(Calculations!AD$3)),1/12))</f>
        <v>7</v>
      </c>
      <c r="AE5" s="22">
        <f>IF($A5=0,1/12,IFERROR(INDEX(Parameters!$X$2:$AI$17,MATCH(Calculations!$A5,Parameters!$A$2:$A$17,0),MONTH(Calculations!AE$3)),1/12))</f>
        <v>8</v>
      </c>
      <c r="AF5" s="22">
        <f>IF($A5=0,1/12,IFERROR(INDEX(Parameters!$X$2:$AI$17,MATCH(Calculations!$A5,Parameters!$A$2:$A$17,0),MONTH(Calculations!AF$3)),1/12))</f>
        <v>9</v>
      </c>
      <c r="AG5" s="22">
        <f>IF($A5=0,1/12,IFERROR(INDEX(Parameters!$X$2:$AI$17,MATCH(Calculations!$A5,Parameters!$A$2:$A$17,0),MONTH(Calculations!AG$3)),1/12))</f>
        <v>10</v>
      </c>
      <c r="AH5" s="22">
        <f>IF($A5=0,1/12,IFERROR(INDEX(Parameters!$X$2:$AI$17,MATCH(Calculations!$A5,Parameters!$A$2:$A$17,0),MONTH(Calculations!AH$3)),1/12))</f>
        <v>11</v>
      </c>
      <c r="AI5" s="22">
        <f>IF($A5=0,1/12,IFERROR(INDEX(Parameters!$X$2:$AI$17,MATCH(Calculations!$A5,Parameters!$A$2:$A$17,0),MONTH(Calculations!AI$3)),1/12))</f>
        <v>12</v>
      </c>
      <c r="AJ5" s="22">
        <f>IF($A5=0,1/12,IFERROR(INDEX(Parameters!$X$2:$AI$17,MATCH(Calculations!$A5,Parameters!$A$2:$A$17,0),MONTH(Calculations!AJ$3)),1/12))</f>
        <v>1</v>
      </c>
      <c r="AK5" s="22">
        <f>IF($A5=0,1/12,IFERROR(INDEX(Parameters!$X$2:$AI$17,MATCH(Calculations!$A5,Parameters!$A$2:$A$17,0),MONTH(Calculations!AK$3)),1/12))</f>
        <v>2</v>
      </c>
      <c r="AL5" s="22">
        <f>IF($A5=0,1/12,IFERROR(INDEX(Parameters!$X$2:$AI$17,MATCH(Calculations!$A5,Parameters!$A$2:$A$17,0),MONTH(Calculations!AL$3)),1/12))</f>
        <v>3</v>
      </c>
      <c r="AM5" s="22">
        <f>IF($A5=0,1/12,IFERROR(INDEX(Parameters!$X$2:$AI$17,MATCH(Calculations!$A5,Parameters!$A$2:$A$17,0),MONTH(Calculations!AM$3)),1/12))</f>
        <v>4</v>
      </c>
      <c r="AN5" s="22">
        <f>IF($A5=0,1/12,IFERROR(INDEX(Parameters!$X$2:$AI$17,MATCH(Calculations!$A5,Parameters!$A$2:$A$17,0),MONTH(Calculations!AN$3)),1/12))</f>
        <v>5</v>
      </c>
      <c r="AO5" s="22">
        <f>IF($A5=0,1/12,IFERROR(INDEX(Parameters!$X$2:$AI$17,MATCH(Calculations!$A5,Parameters!$A$2:$A$17,0),MONTH(Calculations!AO$3)),1/12))</f>
        <v>6</v>
      </c>
      <c r="AP5" s="22">
        <f>IF($A5=0,1/12,IFERROR(INDEX(Parameters!$X$2:$AI$17,MATCH(Calculations!$A5,Parameters!$A$2:$A$17,0),MONTH(Calculations!AP$3)),1/12))</f>
        <v>7</v>
      </c>
      <c r="AQ5" s="22">
        <f>IF($A5=0,1/12,IFERROR(INDEX(Parameters!$X$2:$AI$17,MATCH(Calculations!$A5,Parameters!$A$2:$A$17,0),MONTH(Calculations!AQ$3)),1/12))</f>
        <v>8</v>
      </c>
      <c r="AR5" s="22">
        <f>IF($A5=0,1/12,IFERROR(INDEX(Parameters!$X$2:$AI$17,MATCH(Calculations!$A5,Parameters!$A$2:$A$17,0),MONTH(Calculations!AR$3)),1/12))</f>
        <v>9</v>
      </c>
      <c r="AS5" s="22">
        <f>IF($A5=0,1/12,IFERROR(INDEX(Parameters!$X$2:$AI$17,MATCH(Calculations!$A5,Parameters!$A$2:$A$17,0),MONTH(Calculations!AS$3)),1/12))</f>
        <v>10</v>
      </c>
      <c r="AT5" s="22">
        <f>IF($A5=0,1/12,IFERROR(INDEX(Parameters!$X$2:$AI$17,MATCH(Calculations!$A5,Parameters!$A$2:$A$17,0),MONTH(Calculations!AT$3)),1/12))</f>
        <v>11</v>
      </c>
      <c r="AU5" s="22">
        <f>IF($A5=0,1/12,IFERROR(INDEX(Parameters!$X$2:$AI$17,MATCH(Calculations!$A5,Parameters!$A$2:$A$17,0),MONTH(Calculations!AU$3)),1/12))</f>
        <v>12</v>
      </c>
      <c r="AV5" s="22">
        <f>IF($A5=0,1/12,IFERROR(INDEX(Parameters!$X$2:$AI$17,MATCH(Calculations!$A5,Parameters!$A$2:$A$17,0),MONTH(Calculations!AV$3)),1/12))</f>
        <v>1</v>
      </c>
      <c r="AW5" s="22">
        <f>IF($A5=0,1/12,IFERROR(INDEX(Parameters!$X$2:$AI$17,MATCH(Calculations!$A5,Parameters!$A$2:$A$17,0),MONTH(Calculations!AW$3)),1/12))</f>
        <v>2</v>
      </c>
      <c r="AX5" s="22">
        <f>IF($A5=0,1/12,IFERROR(INDEX(Parameters!$X$2:$AI$17,MATCH(Calculations!$A5,Parameters!$A$2:$A$17,0),MONTH(Calculations!AX$3)),1/12))</f>
        <v>3</v>
      </c>
      <c r="AY5" s="22">
        <f>IF($A5=0,1/12,IFERROR(INDEX(Parameters!$X$2:$AI$17,MATCH(Calculations!$A5,Parameters!$A$2:$A$17,0),MONTH(Calculations!AY$3)),1/12))</f>
        <v>4</v>
      </c>
      <c r="AZ5" s="22">
        <f>IF($A5=0,1/12,IFERROR(INDEX(Parameters!$X$2:$AI$17,MATCH(Calculations!$A5,Parameters!$A$2:$A$17,0),MONTH(Calculations!AZ$3)),1/12))</f>
        <v>5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6</v>
      </c>
      <c r="AD6" s="22">
        <f>IF($A6=0,1/12,IFERROR(INDEX(Parameters!$X$2:$AI$17,MATCH(Calculations!$A6,Parameters!$A$2:$A$17,0),MONTH(Calculations!AD$3)),1/12))</f>
        <v>7</v>
      </c>
      <c r="AE6" s="22">
        <f>IF($A6=0,1/12,IFERROR(INDEX(Parameters!$X$2:$AI$17,MATCH(Calculations!$A6,Parameters!$A$2:$A$17,0),MONTH(Calculations!AE$3)),1/12))</f>
        <v>8</v>
      </c>
      <c r="AF6" s="22">
        <f>IF($A6=0,1/12,IFERROR(INDEX(Parameters!$X$2:$AI$17,MATCH(Calculations!$A6,Parameters!$A$2:$A$17,0),MONTH(Calculations!AF$3)),1/12))</f>
        <v>9</v>
      </c>
      <c r="AG6" s="22">
        <f>IF($A6=0,1/12,IFERROR(INDEX(Parameters!$X$2:$AI$17,MATCH(Calculations!$A6,Parameters!$A$2:$A$17,0),MONTH(Calculations!AG$3)),1/12))</f>
        <v>10</v>
      </c>
      <c r="AH6" s="22">
        <f>IF($A6=0,1/12,IFERROR(INDEX(Parameters!$X$2:$AI$17,MATCH(Calculations!$A6,Parameters!$A$2:$A$17,0),MONTH(Calculations!AH$3)),1/12))</f>
        <v>11</v>
      </c>
      <c r="AI6" s="22">
        <f>IF($A6=0,1/12,IFERROR(INDEX(Parameters!$X$2:$AI$17,MATCH(Calculations!$A6,Parameters!$A$2:$A$17,0),MONTH(Calculations!AI$3)),1/12))</f>
        <v>12</v>
      </c>
      <c r="AJ6" s="22">
        <f>IF($A6=0,1/12,IFERROR(INDEX(Parameters!$X$2:$AI$17,MATCH(Calculations!$A6,Parameters!$A$2:$A$17,0),MONTH(Calculations!AJ$3)),1/12))</f>
        <v>1</v>
      </c>
      <c r="AK6" s="22">
        <f>IF($A6=0,1/12,IFERROR(INDEX(Parameters!$X$2:$AI$17,MATCH(Calculations!$A6,Parameters!$A$2:$A$17,0),MONTH(Calculations!AK$3)),1/12))</f>
        <v>2</v>
      </c>
      <c r="AL6" s="22">
        <f>IF($A6=0,1/12,IFERROR(INDEX(Parameters!$X$2:$AI$17,MATCH(Calculations!$A6,Parameters!$A$2:$A$17,0),MONTH(Calculations!AL$3)),1/12))</f>
        <v>3</v>
      </c>
      <c r="AM6" s="22">
        <f>IF($A6=0,1/12,IFERROR(INDEX(Parameters!$X$2:$AI$17,MATCH(Calculations!$A6,Parameters!$A$2:$A$17,0),MONTH(Calculations!AM$3)),1/12))</f>
        <v>4</v>
      </c>
      <c r="AN6" s="22">
        <f>IF($A6=0,1/12,IFERROR(INDEX(Parameters!$X$2:$AI$17,MATCH(Calculations!$A6,Parameters!$A$2:$A$17,0),MONTH(Calculations!AN$3)),1/12))</f>
        <v>5</v>
      </c>
      <c r="AO6" s="22">
        <f>IF($A6=0,1/12,IFERROR(INDEX(Parameters!$X$2:$AI$17,MATCH(Calculations!$A6,Parameters!$A$2:$A$17,0),MONTH(Calculations!AO$3)),1/12))</f>
        <v>6</v>
      </c>
      <c r="AP6" s="22">
        <f>IF($A6=0,1/12,IFERROR(INDEX(Parameters!$X$2:$AI$17,MATCH(Calculations!$A6,Parameters!$A$2:$A$17,0),MONTH(Calculations!AP$3)),1/12))</f>
        <v>7</v>
      </c>
      <c r="AQ6" s="22">
        <f>IF($A6=0,1/12,IFERROR(INDEX(Parameters!$X$2:$AI$17,MATCH(Calculations!$A6,Parameters!$A$2:$A$17,0),MONTH(Calculations!AQ$3)),1/12))</f>
        <v>8</v>
      </c>
      <c r="AR6" s="22">
        <f>IF($A6=0,1/12,IFERROR(INDEX(Parameters!$X$2:$AI$17,MATCH(Calculations!$A6,Parameters!$A$2:$A$17,0),MONTH(Calculations!AR$3)),1/12))</f>
        <v>9</v>
      </c>
      <c r="AS6" s="22">
        <f>IF($A6=0,1/12,IFERROR(INDEX(Parameters!$X$2:$AI$17,MATCH(Calculations!$A6,Parameters!$A$2:$A$17,0),MONTH(Calculations!AS$3)),1/12))</f>
        <v>10</v>
      </c>
      <c r="AT6" s="22">
        <f>IF($A6=0,1/12,IFERROR(INDEX(Parameters!$X$2:$AI$17,MATCH(Calculations!$A6,Parameters!$A$2:$A$17,0),MONTH(Calculations!AT$3)),1/12))</f>
        <v>11</v>
      </c>
      <c r="AU6" s="22">
        <f>IF($A6=0,1/12,IFERROR(INDEX(Parameters!$X$2:$AI$17,MATCH(Calculations!$A6,Parameters!$A$2:$A$17,0),MONTH(Calculations!AU$3)),1/12))</f>
        <v>12</v>
      </c>
      <c r="AV6" s="22">
        <f>IF($A6=0,1/12,IFERROR(INDEX(Parameters!$X$2:$AI$17,MATCH(Calculations!$A6,Parameters!$A$2:$A$17,0),MONTH(Calculations!AV$3)),1/12))</f>
        <v>1</v>
      </c>
      <c r="AW6" s="22">
        <f>IF($A6=0,1/12,IFERROR(INDEX(Parameters!$X$2:$AI$17,MATCH(Calculations!$A6,Parameters!$A$2:$A$17,0),MONTH(Calculations!AW$3)),1/12))</f>
        <v>2</v>
      </c>
      <c r="AX6" s="22">
        <f>IF($A6=0,1/12,IFERROR(INDEX(Parameters!$X$2:$AI$17,MATCH(Calculations!$A6,Parameters!$A$2:$A$17,0),MONTH(Calculations!AX$3)),1/12))</f>
        <v>3</v>
      </c>
      <c r="AY6" s="22">
        <f>IF($A6=0,1/12,IFERROR(INDEX(Parameters!$X$2:$AI$17,MATCH(Calculations!$A6,Parameters!$A$2:$A$17,0),MONTH(Calculations!AY$3)),1/12))</f>
        <v>4</v>
      </c>
      <c r="AZ6" s="22">
        <f>IF($A6=0,1/12,IFERROR(INDEX(Parameters!$X$2:$AI$17,MATCH(Calculations!$A6,Parameters!$A$2:$A$17,0),MONTH(Calculations!AZ$3)),1/12))</f>
        <v>5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6</v>
      </c>
      <c r="AD7" s="22">
        <f>IF($A7=0,1/12,IFERROR(INDEX(Parameters!$X$2:$AI$17,MATCH(Calculations!$A7,Parameters!$A$2:$A$17,0),MONTH(Calculations!AD$3)),1/12))</f>
        <v>7</v>
      </c>
      <c r="AE7" s="22">
        <f>IF($A7=0,1/12,IFERROR(INDEX(Parameters!$X$2:$AI$17,MATCH(Calculations!$A7,Parameters!$A$2:$A$17,0),MONTH(Calculations!AE$3)),1/12))</f>
        <v>8</v>
      </c>
      <c r="AF7" s="22">
        <f>IF($A7=0,1/12,IFERROR(INDEX(Parameters!$X$2:$AI$17,MATCH(Calculations!$A7,Parameters!$A$2:$A$17,0),MONTH(Calculations!AF$3)),1/12))</f>
        <v>9</v>
      </c>
      <c r="AG7" s="22">
        <f>IF($A7=0,1/12,IFERROR(INDEX(Parameters!$X$2:$AI$17,MATCH(Calculations!$A7,Parameters!$A$2:$A$17,0),MONTH(Calculations!AG$3)),1/12))</f>
        <v>10</v>
      </c>
      <c r="AH7" s="22">
        <f>IF($A7=0,1/12,IFERROR(INDEX(Parameters!$X$2:$AI$17,MATCH(Calculations!$A7,Parameters!$A$2:$A$17,0),MONTH(Calculations!AH$3)),1/12))</f>
        <v>11</v>
      </c>
      <c r="AI7" s="22">
        <f>IF($A7=0,1/12,IFERROR(INDEX(Parameters!$X$2:$AI$17,MATCH(Calculations!$A7,Parameters!$A$2:$A$17,0),MONTH(Calculations!AI$3)),1/12))</f>
        <v>12</v>
      </c>
      <c r="AJ7" s="22">
        <f>IF($A7=0,1/12,IFERROR(INDEX(Parameters!$X$2:$AI$17,MATCH(Calculations!$A7,Parameters!$A$2:$A$17,0),MONTH(Calculations!AJ$3)),1/12))</f>
        <v>1</v>
      </c>
      <c r="AK7" s="22">
        <f>IF($A7=0,1/12,IFERROR(INDEX(Parameters!$X$2:$AI$17,MATCH(Calculations!$A7,Parameters!$A$2:$A$17,0),MONTH(Calculations!AK$3)),1/12))</f>
        <v>2</v>
      </c>
      <c r="AL7" s="22">
        <f>IF($A7=0,1/12,IFERROR(INDEX(Parameters!$X$2:$AI$17,MATCH(Calculations!$A7,Parameters!$A$2:$A$17,0),MONTH(Calculations!AL$3)),1/12))</f>
        <v>3</v>
      </c>
      <c r="AM7" s="22">
        <f>IF($A7=0,1/12,IFERROR(INDEX(Parameters!$X$2:$AI$17,MATCH(Calculations!$A7,Parameters!$A$2:$A$17,0),MONTH(Calculations!AM$3)),1/12))</f>
        <v>4</v>
      </c>
      <c r="AN7" s="22">
        <f>IF($A7=0,1/12,IFERROR(INDEX(Parameters!$X$2:$AI$17,MATCH(Calculations!$A7,Parameters!$A$2:$A$17,0),MONTH(Calculations!AN$3)),1/12))</f>
        <v>5</v>
      </c>
      <c r="AO7" s="22">
        <f>IF($A7=0,1/12,IFERROR(INDEX(Parameters!$X$2:$AI$17,MATCH(Calculations!$A7,Parameters!$A$2:$A$17,0),MONTH(Calculations!AO$3)),1/12))</f>
        <v>6</v>
      </c>
      <c r="AP7" s="22">
        <f>IF($A7=0,1/12,IFERROR(INDEX(Parameters!$X$2:$AI$17,MATCH(Calculations!$A7,Parameters!$A$2:$A$17,0),MONTH(Calculations!AP$3)),1/12))</f>
        <v>7</v>
      </c>
      <c r="AQ7" s="22">
        <f>IF($A7=0,1/12,IFERROR(INDEX(Parameters!$X$2:$AI$17,MATCH(Calculations!$A7,Parameters!$A$2:$A$17,0),MONTH(Calculations!AQ$3)),1/12))</f>
        <v>8</v>
      </c>
      <c r="AR7" s="22">
        <f>IF($A7=0,1/12,IFERROR(INDEX(Parameters!$X$2:$AI$17,MATCH(Calculations!$A7,Parameters!$A$2:$A$17,0),MONTH(Calculations!AR$3)),1/12))</f>
        <v>9</v>
      </c>
      <c r="AS7" s="22">
        <f>IF($A7=0,1/12,IFERROR(INDEX(Parameters!$X$2:$AI$17,MATCH(Calculations!$A7,Parameters!$A$2:$A$17,0),MONTH(Calculations!AS$3)),1/12))</f>
        <v>10</v>
      </c>
      <c r="AT7" s="22">
        <f>IF($A7=0,1/12,IFERROR(INDEX(Parameters!$X$2:$AI$17,MATCH(Calculations!$A7,Parameters!$A$2:$A$17,0),MONTH(Calculations!AT$3)),1/12))</f>
        <v>11</v>
      </c>
      <c r="AU7" s="22">
        <f>IF($A7=0,1/12,IFERROR(INDEX(Parameters!$X$2:$AI$17,MATCH(Calculations!$A7,Parameters!$A$2:$A$17,0),MONTH(Calculations!AU$3)),1/12))</f>
        <v>12</v>
      </c>
      <c r="AV7" s="22">
        <f>IF($A7=0,1/12,IFERROR(INDEX(Parameters!$X$2:$AI$17,MATCH(Calculations!$A7,Parameters!$A$2:$A$17,0),MONTH(Calculations!AV$3)),1/12))</f>
        <v>1</v>
      </c>
      <c r="AW7" s="22">
        <f>IF($A7=0,1/12,IFERROR(INDEX(Parameters!$X$2:$AI$17,MATCH(Calculations!$A7,Parameters!$A$2:$A$17,0),MONTH(Calculations!AW$3)),1/12))</f>
        <v>2</v>
      </c>
      <c r="AX7" s="22">
        <f>IF($A7=0,1/12,IFERROR(INDEX(Parameters!$X$2:$AI$17,MATCH(Calculations!$A7,Parameters!$A$2:$A$17,0),MONTH(Calculations!AX$3)),1/12))</f>
        <v>3</v>
      </c>
      <c r="AY7" s="22">
        <f>IF($A7=0,1/12,IFERROR(INDEX(Parameters!$X$2:$AI$17,MATCH(Calculations!$A7,Parameters!$A$2:$A$17,0),MONTH(Calculations!AY$3)),1/12))</f>
        <v>4</v>
      </c>
      <c r="AZ7" s="22">
        <f>IF($A7=0,1/12,IFERROR(INDEX(Parameters!$X$2:$AI$17,MATCH(Calculations!$A7,Parameters!$A$2:$A$17,0),MONTH(Calculations!AZ$3)),1/12))</f>
        <v>5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9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544618.4210526316</v>
      </c>
      <c r="Q14" s="63">
        <f>IFERROR(D14*INDEX(Parameters!$A$22:$P$29,MATCH(Calculations!$A14,Parameters!$A$22:$A$29,0),MATCH(Parameters!$L$22,Parameters!$A$22:$P$22,0))*IF(Inputs!I19="Always",1,IF(Inputs!I19="Sometimes",0.5,0))*365,"")</f>
        <v>82125</v>
      </c>
      <c r="R14" s="63">
        <f>IFERROR(D14*INDEX(Parameters!$A$22:$P$29,MATCH(Calculations!$A14,Parameters!$A$22:$A$29,0),MATCH(Parameters!$M$22,Parameters!$A$22:$P$22,0)),"")</f>
        <v>9000</v>
      </c>
      <c r="S14" s="63">
        <f>IFERROR(D14*INDEX(Parameters!$A$22:$P$29,MATCH(Calculations!$A14,Parameters!$A$22:$A$29,0),MATCH(Parameters!$N$22,Parameters!$A$22:$P$22,0)),"")</f>
        <v>54000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3480000</v>
      </c>
      <c r="B23" s="75">
        <f>SUM(C23:D23)</f>
        <v>134610.9814323607</v>
      </c>
      <c r="C23" s="75">
        <f>IF(Inputs!B56&gt;0,(Inputs!A56-Inputs!B56)/(DATE(YEAR(Inputs!$B$76),MONTH(Inputs!$B$76),DAY(Inputs!$B$76))-DATE(YEAR(Inputs!C56),MONTH(Inputs!C56),DAY(Inputs!C56)))*30,0)</f>
        <v>70810.98143236074</v>
      </c>
      <c r="D23" s="75">
        <f>IF(Inputs!B56&gt;0,Inputs!A56*0.22/12,0)</f>
        <v>63800</v>
      </c>
      <c r="E23" s="75">
        <f>IFERROR(ROUNDUP(Inputs!B56/C23,0),0)</f>
        <v>12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Kariobangi</v>
      </c>
    </row>
    <row r="33" spans="1:52">
      <c r="A33">
        <v>1</v>
      </c>
      <c r="B33" s="128">
        <f>G34</f>
        <v>42932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42917</v>
      </c>
      <c r="F33" t="s">
        <v>160</v>
      </c>
      <c r="G33" s="128">
        <f>IF(Inputs!B79="","",DATE(YEAR(Inputs!B79),MONTH(Inputs!B79),DAY(Inputs!B79)))</f>
        <v>42902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42963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42948</v>
      </c>
      <c r="F34" t="s">
        <v>161</v>
      </c>
      <c r="G34" s="128">
        <f>IF(Inputs!B80="","",DATE(YEAR(Inputs!B80),MONTH(Inputs!B80),DAY(Inputs!B80)))</f>
        <v>42932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42994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42979</v>
      </c>
      <c r="F35" t="s">
        <v>163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43024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43009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43055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43040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43085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43070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43116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43101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43147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43132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43175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43160</v>
      </c>
      <c r="F41" t="s">
        <v>227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43206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43191</v>
      </c>
      <c r="F42" t="s">
        <v>228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43236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43267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43252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201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297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297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297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297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96</v>
      </c>
      <c r="B41" s="191" t="s">
        <v>144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314</v>
      </c>
      <c r="H52" s="12" t="s">
        <v>127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229</v>
      </c>
      <c r="E53" s="10" t="s">
        <v>188</v>
      </c>
      <c r="F53" s="10" t="s">
        <v>248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144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144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144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144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144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144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144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166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225</v>
      </c>
      <c r="J76" s="11" t="s">
        <v>348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144</v>
      </c>
      <c r="F77" s="12" t="s">
        <v>144</v>
      </c>
      <c r="G77" s="12" t="s">
        <v>350</v>
      </c>
      <c r="H77" s="12" t="s">
        <v>127</v>
      </c>
      <c r="I77" s="12" t="s">
        <v>351</v>
      </c>
      <c r="J77" s="136" t="s">
        <v>352</v>
      </c>
      <c r="K77" s="12" t="s">
        <v>144</v>
      </c>
      <c r="AJ77" s="12"/>
    </row>
    <row r="78" spans="1:36">
      <c r="A78" t="s">
        <v>144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109</v>
      </c>
      <c r="H78" s="12" t="s">
        <v>315</v>
      </c>
      <c r="I78" s="12" t="s">
        <v>356</v>
      </c>
      <c r="J78" s="70" t="s">
        <v>357</v>
      </c>
      <c r="K78" s="12" t="s">
        <v>144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166</v>
      </c>
      <c r="J79" s="70" t="s">
        <v>362</v>
      </c>
      <c r="K79" s="12" t="s">
        <v>144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364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366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149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153</v>
      </c>
      <c r="D89" s="12">
        <f>D88+1</f>
        <v>11</v>
      </c>
    </row>
    <row r="90" spans="1:36">
      <c r="C90" s="12" t="s">
        <v>154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