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<sst xmlns="http://schemas.openxmlformats.org/spreadsheetml/2006/main" uniqueCount="369">
  <si>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</si>
  <si>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</si>
  <si>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</si>
  <si>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</si>
  <si>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</si>
  <si>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</si>
  <si>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</si>
  <si>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</si>
  <si>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</si>
  <si>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</si>
  <si>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</si>
  <si>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</si>
  <si>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</si>
  <si>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</si>
  <si>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</si>
  <si>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</si>
  <si>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</si>
  <si>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</si>
  <si>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</si>
  <si>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</si>
  <si>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</si>
  <si>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</si>
  <si>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</si>
  <si>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</si>
  <si>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</si>
  <si>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</si>
  <si>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</si>
  <si>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</si>
  <si>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</si>
  <si>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</si>
  <si>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</si>
  <si>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</si>
  <si>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</si>
  <si>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</si>
  <si>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</si>
  <si>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</si>
  <si>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</si>
  <si>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</si>
  <si>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</si>
  <si>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</si>
  <si>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</si>
  <si>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</si>
  <si>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</si>
  <si>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</si>
  <si>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</si>
  <si>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</si>
  <si>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</si>
  <si>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</si>
  <si>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</si>
  <si>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</si>
  <si>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</si>
  <si>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</si>
  <si>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</si>
  <si>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</si>
  <si>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</si>
  <si>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</si>
  <si>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</si>
  <si>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</si>
  <si>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</si>
  <si>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</si>
  <si>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</si>
  <si>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</si>
  <si>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</si>
  <si>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</si>
  <si>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</si>
  <si>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</si>
  <si>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</si>
  <si>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</si>
  <si>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</si>
  <si>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</si>
  <si>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</si>
  <si>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</si>
  <si>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</si>
  <si>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</si>
  <si>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</si>
  <si>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</si>
  <si>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</si>
  <si>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</si>
  <si>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</si>
  <si>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</si>
  <si>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</si>
  <si>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</si>
  <si>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</si>
  <si>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</si>
  <si>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</si>
  <si>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</si>
  <si>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</si>
  <si>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</si>
  <si>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</si>
  <si>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</si>
  <si>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</si>
  <si>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</si>
  <si>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</si>
  <si>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</si>
  <si>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January</t>
  </si>
  <si>
    <t>Tomatoes</t>
  </si>
  <si>
    <t>Yes without the use of a pump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</si>
  <si>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</si>
  <si>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</si>
  <si>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</si>
  <si>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</si>
  <si>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</si>
  <si>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</si>
  <si>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</si>
  <si>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</si>
  <si>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</si>
  <si>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</si>
  <si>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</si>
  <si>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</si>
  <si>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</si>
  <si>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</si>
  <si>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</si>
  <si>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</si>
  <si>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</si>
  <si>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</si>
  <si>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employment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</si>
  <si>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</si>
  <si>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</si>
  <si>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</si>
  <si>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</si>
  <si>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</si>
  <si>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</si>
  <si>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</si>
  <si>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</si>
  <si>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</si>
  <si>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</si>
  <si>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</si>
  <si>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</si>
  <si>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</si>
  <si>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</si>
  <si>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</si>
  <si>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</si>
  <si>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</si>
  <si>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</si>
  <si>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</si>
  <si>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</si>
  <si>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</si>
  <si>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</si>
  <si>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</si>
  <si>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</si>
  <si>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</si>
  <si>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</si>
  <si>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</si>
  <si>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8/18/2012</t>
  </si>
  <si>
    <t xml:space="preserve">stanchart </t>
  </si>
  <si>
    <t xml:space="preserve">Credit card </t>
  </si>
  <si>
    <t>Mpesa &amp; bank cash flows (from past statements)</t>
  </si>
  <si>
    <t>Cash inflows</t>
  </si>
  <si>
    <t>Cash outflows</t>
  </si>
  <si>
    <t>December</t>
  </si>
  <si>
    <t>February</t>
  </si>
  <si>
    <t>March</t>
  </si>
  <si>
    <t>April</t>
  </si>
  <si>
    <t>May</t>
  </si>
  <si>
    <t>Loan info</t>
  </si>
  <si>
    <t>Branch ID</t>
  </si>
  <si>
    <t>Submission date</t>
  </si>
  <si>
    <t>2017/6/21</t>
  </si>
  <si>
    <t>Loan terms</t>
  </si>
  <si>
    <t>Expected disbursement date</t>
  </si>
  <si>
    <t>Expected first repayment date</t>
  </si>
  <si>
    <t>2017/7/21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</si>
  <si>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</si>
  <si>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</si>
  <si>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</si>
  <si>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</si>
  <si>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</si>
  <si>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</si>
  <si>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</si>
  <si>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</si>
  <si>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</si>
  <si>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</si>
  <si>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</si>
  <si>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</si>
  <si>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</si>
  <si>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</si>
  <si>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</si>
  <si>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</si>
  <si>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</si>
  <si>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</si>
  <si>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</si>
  <si>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</si>
  <si>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</si>
  <si>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</si>
  <si>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</si>
  <si>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</si>
  <si>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</si>
  <si>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</si>
  <si>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</si>
  <si>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</si>
  <si>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</si>
  <si>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</si>
  <si>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</si>
  <si>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</si>
  <si>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</si>
  <si>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</si>
  <si>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</si>
  <si>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</si>
  <si>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</si>
  <si>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</si>
  <si>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</si>
  <si>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</si>
  <si>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</si>
  <si>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</si>
  <si>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</si>
  <si>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</si>
  <si>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</si>
  <si>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</si>
  <si>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</si>
  <si>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</si>
  <si>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</si>
  <si>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</si>
  <si>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</si>
  <si>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</si>
  <si>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</si>
  <si>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</si>
  <si>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</si>
  <si>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</si>
  <si>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</si>
  <si>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</si>
  <si>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</si>
  <si>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</si>
  <si>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</si>
  <si>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</si>
  <si>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</si>
  <si>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</si>
  <si>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</si>
  <si>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</si>
  <si>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</si>
  <si>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</si>
  <si>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</si>
  <si>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</si>
  <si>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</si>
  <si>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</si>
  <si>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</si>
  <si>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</si>
  <si>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</si>
  <si>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</si>
  <si>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</si>
  <si>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</si>
  <si>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</si>
  <si>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</si>
  <si>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</si>
  <si>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</si>
  <si>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</si>
  <si>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</si>
  <si>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</si>
  <si>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</si>
  <si>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</si>
  <si>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</si>
  <si>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</si>
  <si>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</si>
  <si>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</si>
  <si>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</si>
  <si>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</si>
  <si>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</si>
  <si>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</si>
  <si>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</si>
  <si>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</si>
  <si>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</si>
  <si>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</si>
  <si>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</si>
  <si>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</si>
  <si>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</si>
  <si>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</si>
  <si>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</si>
  <si>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</si>
  <si>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</si>
  <si>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</si>
  <si>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</si>
  <si>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</si>
  <si>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</si>
  <si>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</si>
  <si>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</si>
  <si>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</si>
  <si>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</si>
  <si>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</si>
  <si>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</si>
  <si>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</si>
  <si>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</si>
  <si>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</si>
  <si>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</si>
  <si>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</si>
  <si>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</si>
  <si>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</si>
  <si>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</si>
  <si>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</si>
  <si>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</si>
  <si>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</si>
  <si>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</si>
  <si>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</si>
  <si>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</si>
  <si>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</si>
  <si>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</si>
  <si>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</si>
  <si>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</si>
  <si>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</si>
  <si>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</si>
  <si>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</si>
  <si>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</si>
  <si>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</si>
  <si>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</si>
  <si>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</si>
  <si>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</si>
  <si>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</si>
  <si>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</si>
  <si>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</si>
  <si>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</si>
  <si>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</si>
  <si>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</si>
  <si>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</si>
  <si>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</si>
  <si>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</si>
  <si>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</si>
  <si>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</si>
  <si>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</si>
  <si>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</si>
  <si>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</si>
  <si>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</si>
  <si>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</si>
  <si>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</si>
  <si>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</si>
  <si>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</si>
  <si>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</si>
  <si>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</si>
  <si>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</si>
  <si>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</si>
  <si>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</si>
  <si>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</si>
  <si>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</si>
  <si>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</si>
  <si>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</si>
  <si>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</si>
  <si>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</si>
  <si>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</si>
  <si>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</si>
  <si>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</si>
  <si>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</si>
  <si>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</si>
  <si>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</si>
  <si>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</si>
  <si>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</si>
  <si>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</si>
  <si>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</si>
  <si>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</si>
  <si>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</si>
  <si>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</si>
  <si>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</si>
  <si>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</si>
  <si>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</si>
  <si>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</si>
  <si>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</si>
  <si>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</si>
  <si>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</si>
  <si>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</si>
  <si>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</si>
  <si>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</si>
  <si>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</si>
  <si>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</si>
  <si>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</si>
  <si>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</si>
  <si>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</si>
  <si>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</si>
  <si>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NGO</t>
  </si>
  <si>
    <t>June</t>
  </si>
  <si>
    <t>July</t>
  </si>
  <si>
    <t>August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</si>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</sst>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employment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0.1669133035195541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0.05474747474747475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881685.9180759457</v>
      </c>
    </row>
    <row r="18" spans="1:7">
      <c r="B18" s="1" t="s">
        <v>12</v>
      </c>
      <c r="C18" s="36">
        <f>MIN(Output!B6:M6)</f>
        <v>-6744.482699974411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363043.4311262339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75000</v>
      </c>
    </row>
    <row r="25" spans="1:7">
      <c r="B25" s="1" t="s">
        <v>18</v>
      </c>
      <c r="C25" s="36">
        <f>MAX(Inputs!A56:A60)</f>
        <v>75000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356186.288269091</v>
      </c>
      <c r="C6" s="51">
        <f>C30-C88</f>
        <v>40172.29110246952</v>
      </c>
      <c r="D6" s="51">
        <f>D30-D88</f>
        <v>72080.34060651802</v>
      </c>
      <c r="E6" s="51">
        <f>E30-E88</f>
        <v>7612.660157168444</v>
      </c>
      <c r="F6" s="51">
        <f>F30-F88</f>
        <v>9112.660157168444</v>
      </c>
      <c r="G6" s="51">
        <f>G30-G88</f>
        <v>112.6601571684441</v>
      </c>
      <c r="H6" s="51">
        <f>H30-H88</f>
        <v>363043.4311262339</v>
      </c>
      <c r="I6" s="51">
        <f>I30-I88</f>
        <v>18543.51730002559</v>
      </c>
      <c r="J6" s="51">
        <f>J30-J88</f>
        <v>19755.51730002559</v>
      </c>
      <c r="K6" s="51">
        <f>K30-K88</f>
        <v>755.5173000255891</v>
      </c>
      <c r="L6" s="51">
        <f>L30-L88</f>
        <v>1055.517300025589</v>
      </c>
      <c r="M6" s="51">
        <f>M30-M88</f>
        <v>-6744.482699974411</v>
      </c>
      <c r="N6" s="51">
        <f>N30-N88</f>
        <v>356186.288269091</v>
      </c>
      <c r="O6" s="51">
        <f>O30-O88</f>
        <v>40172.29110246952</v>
      </c>
      <c r="P6" s="51">
        <f>P30-P88</f>
        <v>72080.34060651802</v>
      </c>
      <c r="Q6" s="51">
        <f>Q30-Q88</f>
        <v>7612.660157168444</v>
      </c>
      <c r="R6" s="51">
        <f>R30-R88</f>
        <v>9112.660157168444</v>
      </c>
      <c r="S6" s="51">
        <f>S30-S88</f>
        <v>112.6601571684441</v>
      </c>
      <c r="T6" s="51">
        <f>T30-T88</f>
        <v>363043.4311262339</v>
      </c>
      <c r="U6" s="51">
        <f>U30-U88</f>
        <v>18543.51730002559</v>
      </c>
      <c r="V6" s="51">
        <f>V30-V88</f>
        <v>19755.51730002559</v>
      </c>
      <c r="W6" s="51">
        <f>W30-W88</f>
        <v>755.5173000255891</v>
      </c>
      <c r="X6" s="51">
        <f>X30-X88</f>
        <v>1055.517300025589</v>
      </c>
      <c r="Y6" s="51">
        <f>Y30-Y88</f>
        <v>-6744.482699974411</v>
      </c>
      <c r="Z6" s="51">
        <f>SUMIF($B$13:$Y$13,"Yes",B6:Y6)</f>
        <v>1237872.206345037</v>
      </c>
      <c r="AA6" s="51">
        <f>AA30-AA88</f>
        <v>881685.9180759457</v>
      </c>
      <c r="AB6" s="51">
        <f>AB30-AB88</f>
        <v>1763371.836151891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53274</v>
      </c>
      <c r="I7" s="80">
        <f>IF(ISERROR(VLOOKUP(MONTH(I5),Inputs!$D$66:$D$71,1,0)),"",INDEX(Inputs!$B$66:$B$71,MATCH(MONTH(Output!I5),Inputs!$D$66:$D$71,0))-INDEX(Inputs!$C$66:$C$71,MATCH(MONTH(Output!I5),Inputs!$D$66:$D$71,0)))</f>
        <v>46319</v>
      </c>
      <c r="J7" s="80">
        <f>IF(ISERROR(VLOOKUP(MONTH(J5),Inputs!$D$66:$D$71,1,0)),"",INDEX(Inputs!$B$66:$B$71,MATCH(MONTH(Output!J5),Inputs!$D$66:$D$71,0))-INDEX(Inputs!$C$66:$C$71,MATCH(MONTH(Output!J5),Inputs!$D$66:$D$71,0)))</f>
        <v>30455</v>
      </c>
      <c r="K7" s="80">
        <f>IF(ISERROR(VLOOKUP(MONTH(K5),Inputs!$D$66:$D$71,1,0)),"",INDEX(Inputs!$B$66:$B$71,MATCH(MONTH(Output!K5),Inputs!$D$66:$D$71,0))-INDEX(Inputs!$C$66:$C$71,MATCH(MONTH(Output!K5),Inputs!$D$66:$D$71,0)))</f>
        <v>49556</v>
      </c>
      <c r="L7" s="80">
        <f>IF(ISERROR(VLOOKUP(MONTH(L5),Inputs!$D$66:$D$71,1,0)),"",INDEX(Inputs!$B$66:$B$71,MATCH(MONTH(Output!L5),Inputs!$D$66:$D$71,0))-INDEX(Inputs!$C$66:$C$71,MATCH(MONTH(Output!L5),Inputs!$D$66:$D$71,0)))</f>
        <v>58104</v>
      </c>
      <c r="M7" s="80">
        <f>IF(ISERROR(VLOOKUP(MONTH(M5),Inputs!$D$66:$D$71,1,0)),"",INDEX(Inputs!$B$66:$B$71,MATCH(MONTH(Output!M5),Inputs!$D$66:$D$71,0))-INDEX(Inputs!$C$66:$C$71,MATCH(MONTH(Output!M5),Inputs!$D$66:$D$71,0)))</f>
        <v>60974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53274</v>
      </c>
      <c r="U7" s="80">
        <f>IF(ISERROR(VLOOKUP(MONTH(U5),Inputs!$D$66:$D$71,1,0)),"",INDEX(Inputs!$B$66:$B$71,MATCH(MONTH(Output!U5),Inputs!$D$66:$D$71,0))-INDEX(Inputs!$C$66:$C$71,MATCH(MONTH(Output!U5),Inputs!$D$66:$D$71,0)))</f>
        <v>46319</v>
      </c>
      <c r="V7" s="80">
        <f>IF(ISERROR(VLOOKUP(MONTH(V5),Inputs!$D$66:$D$71,1,0)),"",INDEX(Inputs!$B$66:$B$71,MATCH(MONTH(Output!V5),Inputs!$D$66:$D$71,0))-INDEX(Inputs!$C$66:$C$71,MATCH(MONTH(Output!V5),Inputs!$D$66:$D$71,0)))</f>
        <v>30455</v>
      </c>
      <c r="W7" s="80">
        <f>IF(ISERROR(VLOOKUP(MONTH(W5),Inputs!$D$66:$D$71,1,0)),"",INDEX(Inputs!$B$66:$B$71,MATCH(MONTH(Output!W5),Inputs!$D$66:$D$71,0))-INDEX(Inputs!$C$66:$C$71,MATCH(MONTH(Output!W5),Inputs!$D$66:$D$71,0)))</f>
        <v>49556</v>
      </c>
      <c r="X7" s="80">
        <f>IF(ISERROR(VLOOKUP(MONTH(X5),Inputs!$D$66:$D$71,1,0)),"",INDEX(Inputs!$B$66:$B$71,MATCH(MONTH(Output!X5),Inputs!$D$66:$D$71,0))-INDEX(Inputs!$C$66:$C$71,MATCH(MONTH(Output!X5),Inputs!$D$66:$D$71,0)))</f>
        <v>58104</v>
      </c>
      <c r="Y7" s="80">
        <f>IF(ISERROR(VLOOKUP(MONTH(Y5),Inputs!$D$66:$D$71,1,0)),"",INDEX(Inputs!$B$66:$B$71,MATCH(MONTH(Output!Y5),Inputs!$D$66:$D$71,0))-INDEX(Inputs!$C$66:$C$71,MATCH(MONTH(Output!Y5),Inputs!$D$66:$D$71,0)))</f>
        <v>60974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556186.288269091</v>
      </c>
      <c r="C11" s="80">
        <f>C6+C9-C10</f>
        <v>20172.29110246952</v>
      </c>
      <c r="D11" s="80">
        <f>D6+D9-D10</f>
        <v>52080.34060651802</v>
      </c>
      <c r="E11" s="80">
        <f>E6+E9-E10</f>
        <v>-12387.33984283156</v>
      </c>
      <c r="F11" s="80">
        <f>F6+F9-F10</f>
        <v>-10887.33984283156</v>
      </c>
      <c r="G11" s="80">
        <f>G6+G9-G10</f>
        <v>-19887.33984283156</v>
      </c>
      <c r="H11" s="80">
        <f>H6+H9-H10</f>
        <v>343043.4311262339</v>
      </c>
      <c r="I11" s="80">
        <f>I6+I9-I10</f>
        <v>-1456.482699974411</v>
      </c>
      <c r="J11" s="80">
        <f>J6+J9-J10</f>
        <v>-244.4826999744109</v>
      </c>
      <c r="K11" s="80">
        <f>K6+K9-K10</f>
        <v>-19244.48269997441</v>
      </c>
      <c r="L11" s="80">
        <f>L6+L9-L10</f>
        <v>-18944.48269997441</v>
      </c>
      <c r="M11" s="80">
        <f>M6+M9-M10</f>
        <v>-26744.48269997441</v>
      </c>
      <c r="N11" s="80">
        <f>N6+N9-N10</f>
        <v>336186.288269091</v>
      </c>
      <c r="O11" s="80">
        <f>O6+O9-O10</f>
        <v>40172.29110246952</v>
      </c>
      <c r="P11" s="80">
        <f>P6+P9-P10</f>
        <v>72080.34060651802</v>
      </c>
      <c r="Q11" s="80">
        <f>Q6+Q9-Q10</f>
        <v>7612.660157168444</v>
      </c>
      <c r="R11" s="80">
        <f>R6+R9-R10</f>
        <v>9112.660157168444</v>
      </c>
      <c r="S11" s="80">
        <f>S6+S9-S10</f>
        <v>112.6601571684441</v>
      </c>
      <c r="T11" s="80">
        <f>T6+T9-T10</f>
        <v>363043.4311262339</v>
      </c>
      <c r="U11" s="80">
        <f>U6+U9-U10</f>
        <v>18543.51730002559</v>
      </c>
      <c r="V11" s="80">
        <f>V6+V9-V10</f>
        <v>19755.51730002559</v>
      </c>
      <c r="W11" s="80">
        <f>W6+W9-W10</f>
        <v>755.5173000255891</v>
      </c>
      <c r="X11" s="80">
        <f>X6+X9-X10</f>
        <v>1055.517300025589</v>
      </c>
      <c r="Y11" s="80">
        <f>Y6+Y9-Y10</f>
        <v>-6744.482699974411</v>
      </c>
      <c r="Z11" s="85">
        <f>SUMIF($B$13:$Y$13,"Yes",B11:Y11)</f>
        <v>1197872.206345037</v>
      </c>
      <c r="AA11" s="80">
        <f>SUM(B11:M11)</f>
        <v>861685.9180759455</v>
      </c>
      <c r="AB11" s="46">
        <f>SUM(B11:Y11)</f>
        <v>1723371.836151891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0.03353686974886132</v>
      </c>
      <c r="D12" s="82">
        <f>IF(D13="Yes",IF(SUM($B$10:D10)/(SUM($B$6:D6)+SUM($B$9:D9))&lt;0,999.99,SUM($B$10:D10)/(SUM($B$6:D6)+SUM($B$9:D9))),"")</f>
        <v>0.05984092009680075</v>
      </c>
      <c r="E12" s="82">
        <f>IF(E13="Yes",IF(SUM($B$10:E10)/(SUM($B$6:E6)+SUM($B$9:E9))&lt;0,999.99,SUM($B$10:E10)/(SUM($B$6:E6)+SUM($B$9:E9))),"")</f>
        <v>0.08875062460174524</v>
      </c>
      <c r="F12" s="82">
        <f>IF(F13="Yes",IF(SUM($B$10:F10)/(SUM($B$6:F6)+SUM($B$9:F9))&lt;0,999.99,SUM($B$10:F10)/(SUM($B$6:F6)+SUM($B$9:F9))),"")</f>
        <v>0.116760325912306</v>
      </c>
      <c r="G12" s="82">
        <f>IF(G13="Yes",IF(SUM($B$10:G10)/(SUM($B$6:G6)+SUM($B$9:G9))&lt;0,999.99,SUM($B$10:G10)/(SUM($B$6:G6)+SUM($B$9:G9))),"")</f>
        <v>0.1459264130082217</v>
      </c>
      <c r="H12" s="82">
        <f>IF(H13="Yes",IF(SUM($B$10:H10)/(SUM($B$6:H6)+SUM($B$9:H9))&lt;0,999.99,SUM($B$10:H10)/(SUM($B$6:H6)+SUM($B$9:H9))),"")</f>
        <v>0.1144688282632256</v>
      </c>
      <c r="I12" s="82">
        <f>IF(I13="Yes",IF(SUM($B$10:I10)/(SUM($B$6:I6)+SUM($B$9:I9))&lt;0,999.99,SUM($B$10:I10)/(SUM($B$6:I6)+SUM($B$9:I9))),"")</f>
        <v>0.1312257418296798</v>
      </c>
      <c r="J12" s="82">
        <f>IF(J13="Yes",IF(SUM($B$10:J10)/(SUM($B$6:J6)+SUM($B$9:J9))&lt;0,999.99,SUM($B$10:J10)/(SUM($B$6:J6)+SUM($B$9:J9))),"")</f>
        <v>0.1472456731220305</v>
      </c>
      <c r="K12" s="82">
        <f>IF(K13="Yes",IF(SUM($B$10:K10)/(SUM($B$6:K6)+SUM($B$9:K9))&lt;0,999.99,SUM($B$10:K10)/(SUM($B$6:K6)+SUM($B$9:K9))),"")</f>
        <v>0.1655362862756341</v>
      </c>
      <c r="L12" s="82">
        <f>IF(L13="Yes",IF(SUM($B$10:L10)/(SUM($B$6:L6)+SUM($B$9:L9))&lt;0,999.99,SUM($B$10:L10)/(SUM($B$6:L6)+SUM($B$9:L9))),"")</f>
        <v>0.1837508396103453</v>
      </c>
      <c r="M12" s="82">
        <f>IF(M13="Yes",IF(SUM($B$10:M10)/(SUM($B$6:M6)+SUM($B$9:M9))&lt;0,999.99,SUM($B$10:M10)/(SUM($B$6:M6)+SUM($B$9:M9))),"")</f>
        <v>0.2033862106583824</v>
      </c>
      <c r="N12" s="82">
        <f>IF(N13="Yes",IF(SUM($B$10:N10)/(SUM($B$6:N6)+SUM($B$9:N9))&lt;0,999.99,SUM($B$10:N10)/(SUM($B$6:N6)+SUM($B$9:N9))),"")</f>
        <v>0.1669133035195541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37889.73370779132</v>
      </c>
      <c r="D18" s="36">
        <f>P18</f>
        <v>45467.68044934958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37889.73370779132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45467.68044934958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83357.4141571409</v>
      </c>
      <c r="AA18" s="36">
        <f>SUM(B18:M18)</f>
        <v>83357.4141571409</v>
      </c>
      <c r="AB18" s="36">
        <f>SUM(B18:Y18)</f>
        <v>166714.8283142818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353930.7709690655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353930.7709690655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353930.7709690655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353930.7709690655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1061792.312907197</v>
      </c>
      <c r="AA19" s="36">
        <f>SUM(B19:M19)</f>
        <v>707861.541938131</v>
      </c>
      <c r="AB19" s="36">
        <f>SUM(B19:Y19)</f>
        <v>1415723.083876262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98000</v>
      </c>
      <c r="C29" s="37">
        <f>Inputs!$B$30</f>
        <v>98000</v>
      </c>
      <c r="D29" s="37">
        <f>Inputs!$B$30</f>
        <v>98000</v>
      </c>
      <c r="E29" s="37">
        <f>Inputs!$B$30</f>
        <v>98000</v>
      </c>
      <c r="F29" s="37">
        <f>Inputs!$B$30</f>
        <v>98000</v>
      </c>
      <c r="G29" s="37">
        <f>Inputs!$B$30</f>
        <v>98000</v>
      </c>
      <c r="H29" s="37">
        <f>Inputs!$B$30</f>
        <v>98000</v>
      </c>
      <c r="I29" s="37">
        <f>Inputs!$B$30</f>
        <v>98000</v>
      </c>
      <c r="J29" s="37">
        <f>Inputs!$B$30</f>
        <v>98000</v>
      </c>
      <c r="K29" s="37">
        <f>Inputs!$B$30</f>
        <v>98000</v>
      </c>
      <c r="L29" s="37">
        <f>Inputs!$B$30</f>
        <v>98000</v>
      </c>
      <c r="M29" s="37">
        <f>Inputs!$B$30</f>
        <v>98000</v>
      </c>
      <c r="N29" s="37">
        <f>Inputs!$B$30</f>
        <v>98000</v>
      </c>
      <c r="O29" s="37">
        <f>Inputs!$B$30</f>
        <v>98000</v>
      </c>
      <c r="P29" s="37">
        <f>Inputs!$B$30</f>
        <v>98000</v>
      </c>
      <c r="Q29" s="37">
        <f>Inputs!$B$30</f>
        <v>98000</v>
      </c>
      <c r="R29" s="37">
        <f>Inputs!$B$30</f>
        <v>98000</v>
      </c>
      <c r="S29" s="37">
        <f>Inputs!$B$30</f>
        <v>98000</v>
      </c>
      <c r="T29" s="37">
        <f>Inputs!$B$30</f>
        <v>98000</v>
      </c>
      <c r="U29" s="37">
        <f>Inputs!$B$30</f>
        <v>98000</v>
      </c>
      <c r="V29" s="37">
        <f>Inputs!$B$30</f>
        <v>98000</v>
      </c>
      <c r="W29" s="37">
        <f>Inputs!$B$30</f>
        <v>98000</v>
      </c>
      <c r="X29" s="37">
        <f>Inputs!$B$30</f>
        <v>98000</v>
      </c>
      <c r="Y29" s="37">
        <f>Inputs!$B$30</f>
        <v>98000</v>
      </c>
      <c r="Z29" s="37">
        <f>SUMIF($B$13:$Y$13,"Yes",B29:Y29)</f>
        <v>1274000</v>
      </c>
      <c r="AA29" s="37">
        <f>SUM(B29:M29)</f>
        <v>1176000</v>
      </c>
      <c r="AB29" s="37">
        <f>SUM(B29:Y29)</f>
        <v>2352000</v>
      </c>
    </row>
    <row r="30" spans="1:30" customHeight="1" ht="15.75">
      <c r="A30" s="1" t="s">
        <v>37</v>
      </c>
      <c r="B30" s="19">
        <f>SUM(B18:B29)</f>
        <v>451930.7709690655</v>
      </c>
      <c r="C30" s="19">
        <f>SUM(C18:C29)</f>
        <v>135889.7337077913</v>
      </c>
      <c r="D30" s="19">
        <f>SUM(D18:D29)</f>
        <v>143467.6804493496</v>
      </c>
      <c r="E30" s="19">
        <f>SUM(E18:E29)</f>
        <v>98000</v>
      </c>
      <c r="F30" s="19">
        <f>SUM(F18:F29)</f>
        <v>98000</v>
      </c>
      <c r="G30" s="19">
        <f>SUM(G18:G29)</f>
        <v>98000</v>
      </c>
      <c r="H30" s="19">
        <f>SUM(H18:H29)</f>
        <v>451930.7709690655</v>
      </c>
      <c r="I30" s="19">
        <f>SUM(I18:I29)</f>
        <v>98000</v>
      </c>
      <c r="J30" s="19">
        <f>SUM(J18:J29)</f>
        <v>98000</v>
      </c>
      <c r="K30" s="19">
        <f>SUM(K18:K29)</f>
        <v>98000</v>
      </c>
      <c r="L30" s="19">
        <f>SUM(L18:L29)</f>
        <v>98000</v>
      </c>
      <c r="M30" s="19">
        <f>SUM(M18:M29)</f>
        <v>98000</v>
      </c>
      <c r="N30" s="19">
        <f>SUM(N18:N29)</f>
        <v>451930.7709690655</v>
      </c>
      <c r="O30" s="19">
        <f>SUM(O18:O29)</f>
        <v>135889.7337077913</v>
      </c>
      <c r="P30" s="19">
        <f>SUM(P18:P29)</f>
        <v>143467.6804493496</v>
      </c>
      <c r="Q30" s="19">
        <f>SUM(Q18:Q29)</f>
        <v>98000</v>
      </c>
      <c r="R30" s="19">
        <f>SUM(R18:R29)</f>
        <v>98000</v>
      </c>
      <c r="S30" s="19">
        <f>SUM(S18:S29)</f>
        <v>98000</v>
      </c>
      <c r="T30" s="19">
        <f>SUM(T18:T29)</f>
        <v>451930.7709690655</v>
      </c>
      <c r="U30" s="19">
        <f>SUM(U18:U29)</f>
        <v>98000</v>
      </c>
      <c r="V30" s="19">
        <f>SUM(V18:V29)</f>
        <v>98000</v>
      </c>
      <c r="W30" s="19">
        <f>SUM(W18:W29)</f>
        <v>98000</v>
      </c>
      <c r="X30" s="19">
        <f>SUM(X18:X29)</f>
        <v>98000</v>
      </c>
      <c r="Y30" s="19">
        <f>SUM(Y18:Y29)</f>
        <v>98000</v>
      </c>
      <c r="Z30" s="19">
        <f>SUMIF($B$13:$Y$13,"Yes",B30:Y30)</f>
        <v>2419149.727064337</v>
      </c>
      <c r="AA30" s="19">
        <f>SUM(B30:M30)</f>
        <v>1967218.956095272</v>
      </c>
      <c r="AB30" s="19">
        <f>SUM(B30:Y30)</f>
        <v>3934437.912190543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1500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1212</v>
      </c>
      <c r="J42" s="36">
        <f>V42</f>
        <v>0</v>
      </c>
      <c r="K42" s="36">
        <f>W42</f>
        <v>1500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1500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1212</v>
      </c>
      <c r="V42" s="36">
        <f>SUM(V43:V47)</f>
        <v>0</v>
      </c>
      <c r="W42" s="36">
        <f>SUM(W43:W47)</f>
        <v>1500</v>
      </c>
      <c r="X42" s="36">
        <f>SUM(X43:X47)</f>
        <v>0</v>
      </c>
      <c r="Y42" s="36">
        <f>SUM(Y43:Y47)</f>
        <v>0</v>
      </c>
      <c r="Z42" s="36">
        <f>SUMIF($B$13:$Y$13,"Yes",B42:Y42)</f>
        <v>4212</v>
      </c>
      <c r="AA42" s="36">
        <f>SUM(B42:M42)</f>
        <v>4212</v>
      </c>
      <c r="AB42" s="36">
        <f>SUM(B42:Y42)</f>
        <v>8424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1212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1212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1500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1500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1500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1500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9000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1200</v>
      </c>
      <c r="M48" s="36">
        <f>Y48</f>
        <v>9000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9000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1200</v>
      </c>
      <c r="Y48" s="46">
        <f>SUM(Y49:Y53)</f>
        <v>9000</v>
      </c>
      <c r="Z48" s="46">
        <f>SUMIF($B$13:$Y$13,"Yes",B48:Y48)</f>
        <v>19200</v>
      </c>
      <c r="AA48" s="46">
        <f>SUM(B48:M48)</f>
        <v>19200</v>
      </c>
      <c r="AB48" s="46">
        <f>SUM(B48:Y48)</f>
        <v>38400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1200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1200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9000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9000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9000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9000</v>
      </c>
      <c r="Z50" s="46">
        <f>SUMIF($B$13:$Y$13,"Yes",B50:Y50)</f>
        <v>18000</v>
      </c>
      <c r="AA50" s="46">
        <f>SUM(B50:M50)</f>
        <v>18000</v>
      </c>
      <c r="AB50" s="46">
        <f>SUM(B50:Y50)</f>
        <v>36000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17472.95990534738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17472.95990534738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17472.95990534738</v>
      </c>
      <c r="AA54" s="46">
        <f>SUM(B54:M54)</f>
        <v>17472.95990534738</v>
      </c>
      <c r="AB54" s="46">
        <f>SUM(B54:Y54)</f>
        <v>34945.91981069475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17472.95990534738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17472.95990534738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17472.95990534738</v>
      </c>
      <c r="AA55" s="46">
        <f>SUM(B55:M55)</f>
        <v>17472.95990534738</v>
      </c>
      <c r="AB55" s="46">
        <f>SUM(B55:Y55)</f>
        <v>34945.91981069475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24357.14285714286</v>
      </c>
      <c r="C66" s="36">
        <f>O66</f>
        <v>6857.142857142857</v>
      </c>
      <c r="D66" s="36">
        <f>P66</f>
        <v>0</v>
      </c>
      <c r="E66" s="36">
        <f>Q66</f>
        <v>17500</v>
      </c>
      <c r="F66" s="36">
        <f>R66</f>
        <v>17500</v>
      </c>
      <c r="G66" s="36">
        <f>S66</f>
        <v>17500</v>
      </c>
      <c r="H66" s="36">
        <f>T66</f>
        <v>17500</v>
      </c>
      <c r="I66" s="36">
        <f>U66</f>
        <v>6857.142857142857</v>
      </c>
      <c r="J66" s="36">
        <f>V66</f>
        <v>6857.142857142857</v>
      </c>
      <c r="K66" s="36">
        <f>W66</f>
        <v>24357.14285714286</v>
      </c>
      <c r="L66" s="36">
        <f>X66</f>
        <v>24357.14285714286</v>
      </c>
      <c r="M66" s="36">
        <f>Y66</f>
        <v>24357.14285714286</v>
      </c>
      <c r="N66" s="46">
        <f>SUM(N67:N71)</f>
        <v>24357.14285714286</v>
      </c>
      <c r="O66" s="46">
        <f>SUM(O67:O71)</f>
        <v>6857.142857142857</v>
      </c>
      <c r="P66" s="46">
        <f>SUM(P67:P71)</f>
        <v>0</v>
      </c>
      <c r="Q66" s="46">
        <f>SUM(Q67:Q71)</f>
        <v>17500</v>
      </c>
      <c r="R66" s="46">
        <f>SUM(R67:R71)</f>
        <v>17500</v>
      </c>
      <c r="S66" s="46">
        <f>SUM(S67:S71)</f>
        <v>17500</v>
      </c>
      <c r="T66" s="46">
        <f>SUM(T67:T71)</f>
        <v>17500</v>
      </c>
      <c r="U66" s="46">
        <f>SUM(U67:U71)</f>
        <v>6857.142857142857</v>
      </c>
      <c r="V66" s="46">
        <f>SUM(V67:V71)</f>
        <v>6857.142857142857</v>
      </c>
      <c r="W66" s="46">
        <f>SUM(W67:W71)</f>
        <v>24357.14285714286</v>
      </c>
      <c r="X66" s="46">
        <f>SUM(X67:X71)</f>
        <v>24357.14285714286</v>
      </c>
      <c r="Y66" s="46">
        <f>SUM(Y67:Y71)</f>
        <v>24357.14285714286</v>
      </c>
      <c r="Z66" s="46">
        <f>SUMIF($B$13:$Y$13,"Yes",B66:Y66)</f>
        <v>212357.1428571428</v>
      </c>
      <c r="AA66" s="46">
        <f>SUM(B66:M66)</f>
        <v>187999.9999999999</v>
      </c>
      <c r="AB66" s="46">
        <f>SUM(B66:Y66)</f>
        <v>375999.9999999999</v>
      </c>
    </row>
    <row r="67" spans="1:30" hidden="true" outlineLevel="1">
      <c r="A67" s="181" t="str">
        <f>Calculations!$A$4</f>
        <v>Maize</v>
      </c>
      <c r="B67" s="36">
        <f>N67</f>
        <v>6857.142857142857</v>
      </c>
      <c r="C67" s="36">
        <f>O67</f>
        <v>6857.142857142857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6857.142857142857</v>
      </c>
      <c r="J67" s="36">
        <f>V67</f>
        <v>6857.142857142857</v>
      </c>
      <c r="K67" s="36">
        <f>W67</f>
        <v>6857.142857142857</v>
      </c>
      <c r="L67" s="36">
        <f>X67</f>
        <v>6857.142857142857</v>
      </c>
      <c r="M67" s="36">
        <f>Y67</f>
        <v>6857.142857142857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6857.142857142857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6857.142857142857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6857.142857142857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6857.142857142857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6857.142857142857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6857.142857142857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6857.142857142857</v>
      </c>
      <c r="Z67" s="46">
        <f>SUMIF($B$13:$Y$13,"Yes",B67:Y67)</f>
        <v>54857.14285714285</v>
      </c>
      <c r="AA67" s="46">
        <f>SUM(B67:M67)</f>
        <v>47999.99999999999</v>
      </c>
      <c r="AB67" s="46">
        <f>SUM(B67:Y67)</f>
        <v>95999.99999999999</v>
      </c>
    </row>
    <row r="68" spans="1:30" hidden="true" outlineLevel="1">
      <c r="A68" s="181" t="str">
        <f>Calculations!$A$5</f>
        <v>Tomatoes</v>
      </c>
      <c r="B68" s="36">
        <f>N68</f>
        <v>17500</v>
      </c>
      <c r="C68" s="36">
        <f>O68</f>
        <v>0</v>
      </c>
      <c r="D68" s="36">
        <f>P68</f>
        <v>0</v>
      </c>
      <c r="E68" s="36">
        <f>Q68</f>
        <v>17500</v>
      </c>
      <c r="F68" s="36">
        <f>R68</f>
        <v>17500</v>
      </c>
      <c r="G68" s="36">
        <f>S68</f>
        <v>17500</v>
      </c>
      <c r="H68" s="36">
        <f>T68</f>
        <v>17500</v>
      </c>
      <c r="I68" s="36">
        <f>U68</f>
        <v>0</v>
      </c>
      <c r="J68" s="36">
        <f>V68</f>
        <v>0</v>
      </c>
      <c r="K68" s="36">
        <f>W68</f>
        <v>17500</v>
      </c>
      <c r="L68" s="36">
        <f>X68</f>
        <v>17500</v>
      </c>
      <c r="M68" s="36">
        <f>Y68</f>
        <v>17500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17500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17500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17500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17500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17500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17500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17500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17500</v>
      </c>
      <c r="Z68" s="46">
        <f>SUMIF($B$13:$Y$13,"Yes",B68:Y68)</f>
        <v>157500</v>
      </c>
      <c r="AA68" s="46">
        <f>SUM(B68:M68)</f>
        <v>140000</v>
      </c>
      <c r="AB68" s="46">
        <f>SUM(B68:Y68)</f>
        <v>280000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49944.46653966414</v>
      </c>
      <c r="C81" s="46">
        <f>(SUM($AA$18:$AA$29)-SUM($AA$36,$AA$42,$AA$48,$AA$54,$AA$60,$AA$66,$AA$72:$AA$79))*Parameters!$B$37/12</f>
        <v>49944.46653966414</v>
      </c>
      <c r="D81" s="46">
        <f>(SUM($AA$18:$AA$29)-SUM($AA$36,$AA$42,$AA$48,$AA$54,$AA$60,$AA$66,$AA$72:$AA$79))*Parameters!$B$37/12</f>
        <v>49944.46653966414</v>
      </c>
      <c r="E81" s="46">
        <f>(SUM($AA$18:$AA$29)-SUM($AA$36,$AA$42,$AA$48,$AA$54,$AA$60,$AA$66,$AA$72:$AA$79))*Parameters!$B$37/12</f>
        <v>49944.46653966414</v>
      </c>
      <c r="F81" s="46">
        <f>(SUM($AA$18:$AA$29)-SUM($AA$36,$AA$42,$AA$48,$AA$54,$AA$60,$AA$66,$AA$72:$AA$79))*Parameters!$B$37/12</f>
        <v>49944.46653966414</v>
      </c>
      <c r="G81" s="46">
        <f>(SUM($AA$18:$AA$29)-SUM($AA$36,$AA$42,$AA$48,$AA$54,$AA$60,$AA$66,$AA$72:$AA$79))*Parameters!$B$37/12</f>
        <v>49944.46653966414</v>
      </c>
      <c r="H81" s="46">
        <f>(SUM($AA$18:$AA$29)-SUM($AA$36,$AA$42,$AA$48,$AA$54,$AA$60,$AA$66,$AA$72:$AA$79))*Parameters!$B$37/12</f>
        <v>49944.46653966414</v>
      </c>
      <c r="I81" s="46">
        <f>(SUM($AA$18:$AA$29)-SUM($AA$36,$AA$42,$AA$48,$AA$54,$AA$60,$AA$66,$AA$72:$AA$79))*Parameters!$B$37/12</f>
        <v>49944.46653966414</v>
      </c>
      <c r="J81" s="46">
        <f>(SUM($AA$18:$AA$29)-SUM($AA$36,$AA$42,$AA$48,$AA$54,$AA$60,$AA$66,$AA$72:$AA$79))*Parameters!$B$37/12</f>
        <v>49944.46653966414</v>
      </c>
      <c r="K81" s="46">
        <f>(SUM($AA$18:$AA$29)-SUM($AA$36,$AA$42,$AA$48,$AA$54,$AA$60,$AA$66,$AA$72:$AA$79))*Parameters!$B$37/12</f>
        <v>49944.46653966414</v>
      </c>
      <c r="L81" s="46">
        <f>(SUM($AA$18:$AA$29)-SUM($AA$36,$AA$42,$AA$48,$AA$54,$AA$60,$AA$66,$AA$72:$AA$79))*Parameters!$B$37/12</f>
        <v>49944.46653966414</v>
      </c>
      <c r="M81" s="46">
        <f>(SUM($AA$18:$AA$29)-SUM($AA$36,$AA$42,$AA$48,$AA$54,$AA$60,$AA$66,$AA$72:$AA$79))*Parameters!$B$37/12</f>
        <v>49944.46653966414</v>
      </c>
      <c r="N81" s="46">
        <f>(SUM($AA$18:$AA$29)-SUM($AA$36,$AA$42,$AA$48,$AA$54,$AA$60,$AA$66,$AA$72:$AA$79))*Parameters!$B$37/12</f>
        <v>49944.46653966414</v>
      </c>
      <c r="O81" s="46">
        <f>(SUM($AA$18:$AA$29)-SUM($AA$36,$AA$42,$AA$48,$AA$54,$AA$60,$AA$66,$AA$72:$AA$79))*Parameters!$B$37/12</f>
        <v>49944.46653966414</v>
      </c>
      <c r="P81" s="46">
        <f>(SUM($AA$18:$AA$29)-SUM($AA$36,$AA$42,$AA$48,$AA$54,$AA$60,$AA$66,$AA$72:$AA$79))*Parameters!$B$37/12</f>
        <v>49944.46653966414</v>
      </c>
      <c r="Q81" s="46">
        <f>(SUM($AA$18:$AA$29)-SUM($AA$36,$AA$42,$AA$48,$AA$54,$AA$60,$AA$66,$AA$72:$AA$79))*Parameters!$B$37/12</f>
        <v>49944.46653966414</v>
      </c>
      <c r="R81" s="46">
        <f>(SUM($AA$18:$AA$29)-SUM($AA$36,$AA$42,$AA$48,$AA$54,$AA$60,$AA$66,$AA$72:$AA$79))*Parameters!$B$37/12</f>
        <v>49944.46653966414</v>
      </c>
      <c r="S81" s="46">
        <f>(SUM($AA$18:$AA$29)-SUM($AA$36,$AA$42,$AA$48,$AA$54,$AA$60,$AA$66,$AA$72:$AA$79))*Parameters!$B$37/12</f>
        <v>49944.46653966414</v>
      </c>
      <c r="T81" s="46">
        <f>(SUM($AA$18:$AA$29)-SUM($AA$36,$AA$42,$AA$48,$AA$54,$AA$60,$AA$66,$AA$72:$AA$79))*Parameters!$B$37/12</f>
        <v>49944.46653966414</v>
      </c>
      <c r="U81" s="46">
        <f>(SUM($AA$18:$AA$29)-SUM($AA$36,$AA$42,$AA$48,$AA$54,$AA$60,$AA$66,$AA$72:$AA$79))*Parameters!$B$37/12</f>
        <v>49944.46653966414</v>
      </c>
      <c r="V81" s="46">
        <f>(SUM($AA$18:$AA$29)-SUM($AA$36,$AA$42,$AA$48,$AA$54,$AA$60,$AA$66,$AA$72:$AA$79))*Parameters!$B$37/12</f>
        <v>49944.46653966414</v>
      </c>
      <c r="W81" s="46">
        <f>(SUM($AA$18:$AA$29)-SUM($AA$36,$AA$42,$AA$48,$AA$54,$AA$60,$AA$66,$AA$72:$AA$79))*Parameters!$B$37/12</f>
        <v>49944.46653966414</v>
      </c>
      <c r="X81" s="46">
        <f>(SUM($AA$18:$AA$29)-SUM($AA$36,$AA$42,$AA$48,$AA$54,$AA$60,$AA$66,$AA$72:$AA$79))*Parameters!$B$37/12</f>
        <v>49944.46653966414</v>
      </c>
      <c r="Y81" s="46">
        <f>(SUM($AA$18:$AA$29)-SUM($AA$36,$AA$42,$AA$48,$AA$54,$AA$60,$AA$66,$AA$72:$AA$79))*Parameters!$B$37/12</f>
        <v>49944.46653966414</v>
      </c>
      <c r="Z81" s="46">
        <f>SUMIF($B$13:$Y$13,"Yes",B81:Y81)</f>
        <v>649278.0650156339</v>
      </c>
      <c r="AA81" s="46">
        <f>SUM(B81:M81)</f>
        <v>599333.5984759697</v>
      </c>
      <c r="AB81" s="46">
        <f>SUM(B81:Y81)</f>
        <v>1198667.19695194</v>
      </c>
    </row>
    <row r="82" spans="1:30">
      <c r="A82" s="16" t="s">
        <v>52</v>
      </c>
      <c r="B82" s="46">
        <f>SUM(B83:B87)</f>
        <v>1442.873303167421</v>
      </c>
      <c r="C82" s="46">
        <f>SUM(C83:C87)</f>
        <v>1442.873303167421</v>
      </c>
      <c r="D82" s="46">
        <f>SUM(D83:D87)</f>
        <v>1442.873303167421</v>
      </c>
      <c r="E82" s="46">
        <f>SUM(E83:E87)</f>
        <v>1442.873303167421</v>
      </c>
      <c r="F82" s="46">
        <f>SUM(F83:F87)</f>
        <v>1442.873303167421</v>
      </c>
      <c r="G82" s="46">
        <f>SUM(G83:G87)</f>
        <v>1442.873303167421</v>
      </c>
      <c r="H82" s="46">
        <f>SUM(H83:H87)</f>
        <v>1442.873303167421</v>
      </c>
      <c r="I82" s="46">
        <f>SUM(I83:I87)</f>
        <v>1442.873303167421</v>
      </c>
      <c r="J82" s="46">
        <f>SUM(J83:J87)</f>
        <v>1442.873303167421</v>
      </c>
      <c r="K82" s="46">
        <f>SUM(K83:K87)</f>
        <v>1442.873303167421</v>
      </c>
      <c r="L82" s="46">
        <f>SUM(L83:L87)</f>
        <v>1442.873303167421</v>
      </c>
      <c r="M82" s="46">
        <f>SUM(M83:M87)</f>
        <v>1442.873303167421</v>
      </c>
      <c r="N82" s="46">
        <f>SUM(N83:N87)</f>
        <v>1442.873303167421</v>
      </c>
      <c r="O82" s="46">
        <f>SUM(O83:O87)</f>
        <v>1442.873303167421</v>
      </c>
      <c r="P82" s="46">
        <f>SUM(P83:P87)</f>
        <v>1442.873303167421</v>
      </c>
      <c r="Q82" s="46">
        <f>SUM(Q83:Q87)</f>
        <v>1442.873303167421</v>
      </c>
      <c r="R82" s="46">
        <f>SUM(R83:R87)</f>
        <v>1442.873303167421</v>
      </c>
      <c r="S82" s="46">
        <f>SUM(S83:S87)</f>
        <v>1442.873303167421</v>
      </c>
      <c r="T82" s="46">
        <f>SUM(T83:T87)</f>
        <v>1442.873303167421</v>
      </c>
      <c r="U82" s="46">
        <f>SUM(U83:U87)</f>
        <v>1442.873303167421</v>
      </c>
      <c r="V82" s="46">
        <f>SUM(V83:V87)</f>
        <v>1442.873303167421</v>
      </c>
      <c r="W82" s="46">
        <f>SUM(W83:W87)</f>
        <v>1442.873303167421</v>
      </c>
      <c r="X82" s="46">
        <f>SUM(X83:X87)</f>
        <v>1442.873303167421</v>
      </c>
      <c r="Y82" s="46">
        <f>SUM(Y83:Y87)</f>
        <v>1442.873303167421</v>
      </c>
      <c r="Z82" s="46">
        <f>SUMIF($B$13:$Y$13,"Yes",B82:Y82)</f>
        <v>18757.35294117646</v>
      </c>
      <c r="AA82" s="46">
        <f>SUM(B82:M82)</f>
        <v>17314.47963800904</v>
      </c>
      <c r="AB82" s="46">
        <f>SUM(B82:Y82)</f>
        <v>34628.95927601809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1442.873303167421</v>
      </c>
      <c r="C83" s="46">
        <f>IF(Calculations!$E23&gt;COUNT(Output!$B$35:C$35),Calculations!$B23,IF(Calculations!$E23=COUNT(Output!$B$35:C$35),Inputs!$B56-Calculations!$C23*(Calculations!$E23-1)+Calculations!$D23,0))</f>
        <v>1442.873303167421</v>
      </c>
      <c r="D83" s="46">
        <f>IF(Calculations!$E23&gt;COUNT(Output!$B$35:D$35),Calculations!$B23,IF(Calculations!$E23=COUNT(Output!$B$35:D$35),Inputs!$B56-Calculations!$C23*(Calculations!$E23-1)+Calculations!$D23,0))</f>
        <v>1442.873303167421</v>
      </c>
      <c r="E83" s="46">
        <f>IF(Calculations!$E23&gt;COUNT(Output!$B$35:E$35),Calculations!$B23,IF(Calculations!$E23=COUNT(Output!$B$35:E$35),Inputs!$B56-Calculations!$C23*(Calculations!$E23-1)+Calculations!$D23,0))</f>
        <v>1442.873303167421</v>
      </c>
      <c r="F83" s="46">
        <f>IF(Calculations!$E23&gt;COUNT(Output!$B$35:F$35),Calculations!$B23,IF(Calculations!$E23=COUNT(Output!$B$35:F$35),Inputs!$B56-Calculations!$C23*(Calculations!$E23-1)+Calculations!$D23,0))</f>
        <v>1442.873303167421</v>
      </c>
      <c r="G83" s="46">
        <f>IF(Calculations!$E23&gt;COUNT(Output!$B$35:G$35),Calculations!$B23,IF(Calculations!$E23=COUNT(Output!$B$35:G$35),Inputs!$B56-Calculations!$C23*(Calculations!$E23-1)+Calculations!$D23,0))</f>
        <v>1442.873303167421</v>
      </c>
      <c r="H83" s="46">
        <f>IF(Calculations!$E23&gt;COUNT(Output!$B$35:H$35),Calculations!$B23,IF(Calculations!$E23=COUNT(Output!$B$35:H$35),Inputs!$B56-Calculations!$C23*(Calculations!$E23-1)+Calculations!$D23,0))</f>
        <v>1442.873303167421</v>
      </c>
      <c r="I83" s="46">
        <f>IF(Calculations!$E23&gt;COUNT(Output!$B$35:I$35),Calculations!$B23,IF(Calculations!$E23=COUNT(Output!$B$35:I$35),Inputs!$B56-Calculations!$C23*(Calculations!$E23-1)+Calculations!$D23,0))</f>
        <v>1442.873303167421</v>
      </c>
      <c r="J83" s="46">
        <f>IF(Calculations!$E23&gt;COUNT(Output!$B$35:J$35),Calculations!$B23,IF(Calculations!$E23=COUNT(Output!$B$35:J$35),Inputs!$B56-Calculations!$C23*(Calculations!$E23-1)+Calculations!$D23,0))</f>
        <v>1442.873303167421</v>
      </c>
      <c r="K83" s="46">
        <f>IF(Calculations!$E23&gt;COUNT(Output!$B$35:K$35),Calculations!$B23,IF(Calculations!$E23=COUNT(Output!$B$35:K$35),Inputs!$B56-Calculations!$C23*(Calculations!$E23-1)+Calculations!$D23,0))</f>
        <v>1442.873303167421</v>
      </c>
      <c r="L83" s="46">
        <f>IF(Calculations!$E23&gt;COUNT(Output!$B$35:L$35),Calculations!$B23,IF(Calculations!$E23=COUNT(Output!$B$35:L$35),Inputs!$B56-Calculations!$C23*(Calculations!$E23-1)+Calculations!$D23,0))</f>
        <v>1442.873303167421</v>
      </c>
      <c r="M83" s="46">
        <f>IF(Calculations!$E23&gt;COUNT(Output!$B$35:M$35),Calculations!$B23,IF(Calculations!$E23=COUNT(Output!$B$35:M$35),Inputs!$B56-Calculations!$C23*(Calculations!$E23-1)+Calculations!$D23,0))</f>
        <v>1442.873303167421</v>
      </c>
      <c r="N83" s="46">
        <f>IF(Calculations!$E23&gt;COUNT(Output!$B$35:N$35),Calculations!$B23,IF(Calculations!$E23=COUNT(Output!$B$35:N$35),Inputs!$B56-Calculations!$C23*(Calculations!$E23-1)+Calculations!$D23,0))</f>
        <v>1442.873303167421</v>
      </c>
      <c r="O83" s="46">
        <f>IF(Calculations!$E23&gt;COUNT(Output!$B$35:O$35),Calculations!$B23,IF(Calculations!$E23=COUNT(Output!$B$35:O$35),Inputs!$B56-Calculations!$C23*(Calculations!$E23-1)+Calculations!$D23,0))</f>
        <v>1442.873303167421</v>
      </c>
      <c r="P83" s="46">
        <f>IF(Calculations!$E23&gt;COUNT(Output!$B$35:P$35),Calculations!$B23,IF(Calculations!$E23=COUNT(Output!$B$35:P$35),Inputs!$B56-Calculations!$C23*(Calculations!$E23-1)+Calculations!$D23,0))</f>
        <v>1442.873303167421</v>
      </c>
      <c r="Q83" s="46">
        <f>IF(Calculations!$E23&gt;COUNT(Output!$B$35:Q$35),Calculations!$B23,IF(Calculations!$E23=COUNT(Output!$B$35:Q$35),Inputs!$B56-Calculations!$C23*(Calculations!$E23-1)+Calculations!$D23,0))</f>
        <v>1442.873303167421</v>
      </c>
      <c r="R83" s="46">
        <f>IF(Calculations!$E23&gt;COUNT(Output!$B$35:R$35),Calculations!$B23,IF(Calculations!$E23=COUNT(Output!$B$35:R$35),Inputs!$B56-Calculations!$C23*(Calculations!$E23-1)+Calculations!$D23,0))</f>
        <v>1442.873303167421</v>
      </c>
      <c r="S83" s="46">
        <f>IF(Calculations!$E23&gt;COUNT(Output!$B$35:S$35),Calculations!$B23,IF(Calculations!$E23=COUNT(Output!$B$35:S$35),Inputs!$B56-Calculations!$C23*(Calculations!$E23-1)+Calculations!$D23,0))</f>
        <v>1442.873303167421</v>
      </c>
      <c r="T83" s="46">
        <f>IF(Calculations!$E23&gt;COUNT(Output!$B$35:T$35),Calculations!$B23,IF(Calculations!$E23=COUNT(Output!$B$35:T$35),Inputs!$B56-Calculations!$C23*(Calculations!$E23-1)+Calculations!$D23,0))</f>
        <v>1442.873303167421</v>
      </c>
      <c r="U83" s="46">
        <f>IF(Calculations!$E23&gt;COUNT(Output!$B$35:U$35),Calculations!$B23,IF(Calculations!$E23=COUNT(Output!$B$35:U$35),Inputs!$B56-Calculations!$C23*(Calculations!$E23-1)+Calculations!$D23,0))</f>
        <v>1442.873303167421</v>
      </c>
      <c r="V83" s="46">
        <f>IF(Calculations!$E23&gt;COUNT(Output!$B$35:V$35),Calculations!$B23,IF(Calculations!$E23=COUNT(Output!$B$35:V$35),Inputs!$B56-Calculations!$C23*(Calculations!$E23-1)+Calculations!$D23,0))</f>
        <v>1442.873303167421</v>
      </c>
      <c r="W83" s="46">
        <f>IF(Calculations!$E23&gt;COUNT(Output!$B$35:W$35),Calculations!$B23,IF(Calculations!$E23=COUNT(Output!$B$35:W$35),Inputs!$B56-Calculations!$C23*(Calculations!$E23-1)+Calculations!$D23,0))</f>
        <v>1442.873303167421</v>
      </c>
      <c r="X83" s="46">
        <f>IF(Calculations!$E23&gt;COUNT(Output!$B$35:X$35),Calculations!$B23,IF(Calculations!$E23=COUNT(Output!$B$35:X$35),Inputs!$B56-Calculations!$C23*(Calculations!$E23-1)+Calculations!$D23,0))</f>
        <v>1442.873303167421</v>
      </c>
      <c r="Y83" s="46">
        <f>IF(Calculations!$E23&gt;COUNT(Output!$B$35:Y$35),Calculations!$B23,IF(Calculations!$E23=COUNT(Output!$B$35:Y$35),Inputs!$B56-Calculations!$C23*(Calculations!$E23-1)+Calculations!$D23,0))</f>
        <v>1442.873303167421</v>
      </c>
      <c r="Z83" s="46">
        <f>SUMIF($B$13:$Y$13,"Yes",B83:Y83)</f>
        <v>18757.35294117646</v>
      </c>
      <c r="AA83" s="46">
        <f>SUM(B83:M83)</f>
        <v>17314.47963800904</v>
      </c>
      <c r="AB83" s="46">
        <f>SUM(B83:Y83)</f>
        <v>34628.95927601809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95744.48269997441</v>
      </c>
      <c r="C88" s="19">
        <f>SUM(C72:C82,C66,C60,C54,C48,C42,C36)</f>
        <v>95717.44260532179</v>
      </c>
      <c r="D88" s="19">
        <f>SUM(D72:D82,D66,D60,D54,D48,D42,D36)</f>
        <v>71387.33984283156</v>
      </c>
      <c r="E88" s="19">
        <f>SUM(E72:E82,E66,E60,E54,E48,E42,E36)</f>
        <v>90387.33984283156</v>
      </c>
      <c r="F88" s="19">
        <f>SUM(F72:F82,F66,F60,F54,F48,F42,F36)</f>
        <v>88887.33984283156</v>
      </c>
      <c r="G88" s="19">
        <f>SUM(G72:G82,G66,G60,G54,G48,G42,G36)</f>
        <v>97887.33984283156</v>
      </c>
      <c r="H88" s="19">
        <f>SUM(H72:H82,H66,H60,H54,H48,H42,H36)</f>
        <v>88887.33984283156</v>
      </c>
      <c r="I88" s="19">
        <f>SUM(I72:I82,I66,I60,I54,I48,I42,I36)</f>
        <v>79456.48269997441</v>
      </c>
      <c r="J88" s="19">
        <f>SUM(J72:J82,J66,J60,J54,J48,J42,J36)</f>
        <v>78244.48269997441</v>
      </c>
      <c r="K88" s="19">
        <f>SUM(K72:K82,K66,K60,K54,K48,K42,K36)</f>
        <v>97244.48269997441</v>
      </c>
      <c r="L88" s="19">
        <f>SUM(L72:L82,L66,L60,L54,L48,L42,L36)</f>
        <v>96944.48269997441</v>
      </c>
      <c r="M88" s="19">
        <f>SUM(M72:M82,M66,M60,M54,M48,M42,M36)</f>
        <v>104744.4826999744</v>
      </c>
      <c r="N88" s="19">
        <f>SUM(N72:N82,N66,N60,N54,N48,N42,N36)</f>
        <v>95744.48269997441</v>
      </c>
      <c r="O88" s="19">
        <f>SUM(O72:O82,O66,O60,O54,O48,O42,O36)</f>
        <v>95717.44260532179</v>
      </c>
      <c r="P88" s="19">
        <f>SUM(P72:P82,P66,P60,P54,P48,P42,P36)</f>
        <v>71387.33984283156</v>
      </c>
      <c r="Q88" s="19">
        <f>SUM(Q72:Q82,Q66,Q60,Q54,Q48,Q42,Q36)</f>
        <v>90387.33984283156</v>
      </c>
      <c r="R88" s="19">
        <f>SUM(R72:R82,R66,R60,R54,R48,R42,R36)</f>
        <v>88887.33984283156</v>
      </c>
      <c r="S88" s="19">
        <f>SUM(S72:S82,S66,S60,S54,S48,S42,S36)</f>
        <v>97887.33984283156</v>
      </c>
      <c r="T88" s="19">
        <f>SUM(T72:T82,T66,T60,T54,T48,T42,T36)</f>
        <v>88887.33984283156</v>
      </c>
      <c r="U88" s="19">
        <f>SUM(U72:U82,U66,U60,U54,U48,U42,U36)</f>
        <v>79456.48269997441</v>
      </c>
      <c r="V88" s="19">
        <f>SUM(V72:V82,V66,V60,V54,V48,V42,V36)</f>
        <v>78244.48269997441</v>
      </c>
      <c r="W88" s="19">
        <f>SUM(W72:W82,W66,W60,W54,W48,W42,W36)</f>
        <v>97244.48269997441</v>
      </c>
      <c r="X88" s="19">
        <f>SUM(X72:X82,X66,X60,X54,X48,X42,X36)</f>
        <v>96944.48269997441</v>
      </c>
      <c r="Y88" s="19">
        <f>SUM(Y72:Y82,Y66,Y60,Y54,Y48,Y42,Y36)</f>
        <v>104744.4826999744</v>
      </c>
      <c r="Z88" s="19">
        <f>SUMIF($B$13:$Y$13,"Yes",B88:Y88)</f>
        <v>1181277.5207193</v>
      </c>
      <c r="AA88" s="19">
        <f>SUM(B88:M88)</f>
        <v>1085533.038019326</v>
      </c>
      <c r="AB88" s="19">
        <f>SUM(B88:Y88)</f>
        <v>2171066.076038652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4950000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71000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271000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96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98000</v>
      </c>
    </row>
    <row r="31" spans="1:48">
      <c r="A31" s="5" t="s">
        <v>117</v>
      </c>
      <c r="B31" s="158">
        <v>20000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3000000</v>
      </c>
    </row>
    <row r="46" spans="1:48" customHeight="1" ht="30">
      <c r="A46" s="57" t="s">
        <v>131</v>
      </c>
      <c r="B46" s="161">
        <v>500000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50000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75000</v>
      </c>
      <c r="B56" s="159">
        <v>71000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200147</v>
      </c>
      <c r="C66" s="163">
        <v>146873</v>
      </c>
      <c r="D66" s="49">
        <f>INDEX(Parameters!$D$79:$D$90,MATCH(Inputs!A66,Parameters!$C$79:$C$90,0))</f>
        <v>12</v>
      </c>
    </row>
    <row r="67" spans="1:48">
      <c r="A67" s="143" t="s">
        <v>94</v>
      </c>
      <c r="B67" s="157">
        <v>239867</v>
      </c>
      <c r="C67" s="165">
        <v>193548</v>
      </c>
      <c r="D67" s="49">
        <f>INDEX(Parameters!$D$79:$D$90,MATCH(Inputs!A67,Parameters!$C$79:$C$90,0))</f>
        <v>1</v>
      </c>
    </row>
    <row r="68" spans="1:48">
      <c r="A68" s="143" t="s">
        <v>150</v>
      </c>
      <c r="B68" s="157">
        <v>300258</v>
      </c>
      <c r="C68" s="165">
        <v>269803</v>
      </c>
      <c r="D68" s="49">
        <f>INDEX(Parameters!$D$79:$D$90,MATCH(Inputs!A68,Parameters!$C$79:$C$90,0))</f>
        <v>2</v>
      </c>
    </row>
    <row r="69" spans="1:48">
      <c r="A69" s="143" t="s">
        <v>151</v>
      </c>
      <c r="B69" s="157">
        <v>218330</v>
      </c>
      <c r="C69" s="165">
        <v>168774</v>
      </c>
      <c r="D69" s="49">
        <f>INDEX(Parameters!$D$79:$D$90,MATCH(Inputs!A69,Parameters!$C$79:$C$90,0))</f>
        <v>3</v>
      </c>
    </row>
    <row r="70" spans="1:48">
      <c r="A70" s="143" t="s">
        <v>152</v>
      </c>
      <c r="B70" s="157">
        <v>309587</v>
      </c>
      <c r="C70" s="165">
        <v>251483</v>
      </c>
      <c r="D70" s="49">
        <f>INDEX(Parameters!$D$79:$D$90,MATCH(Inputs!A70,Parameters!$C$79:$C$90,0))</f>
        <v>4</v>
      </c>
    </row>
    <row r="71" spans="1:48">
      <c r="A71" s="144" t="s">
        <v>153</v>
      </c>
      <c r="B71" s="158">
        <v>259611</v>
      </c>
      <c r="C71" s="167">
        <v>198637</v>
      </c>
      <c r="D71" s="49">
        <f>INDEX(Parameters!$D$79:$D$90,MATCH(Inputs!A71,Parameters!$C$79:$C$90,0))</f>
        <v>5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200000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43191</v>
      </c>
      <c r="D4" s="38">
        <f>IFERROR(DATE(YEAR(B4),MONTH(B4)+T4,DAY(B4)),"")</f>
        <v>43282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43282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3798.469544640734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75779.46741558264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8736.479952673688</v>
      </c>
      <c r="AB4" s="33">
        <f>H4*IFERROR(INDEX(Parameters!$A$3:$AI$17,MATCH(Calculations!A4,Parameters!$A$3:$A$17,0),MATCH(Parameters!$O$3,Parameters!$A$3:$AI$3,0)),AVERAGE(Parameters!$O$4:$O$17))*(1-Inputs!$B$25/100)</f>
        <v>24000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43040</v>
      </c>
      <c r="D5" s="39">
        <f>IFERROR(DATE(YEAR(B5),MONTH(B5)+T5,DAY(B5)),"")</f>
        <v>43070</v>
      </c>
      <c r="E5" s="39">
        <f>IFERROR(IF($S5=0,"",IF($S5=2,DATE(YEAR(B5),MONTH(B5)+6,DAY(B5)),IF($S5=1,B5,""))),"")</f>
        <v>43160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43252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10112.3077419733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707861.541938131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75000</v>
      </c>
      <c r="B23" s="75">
        <f>SUM(C23:D23)</f>
        <v>1442.873303167421</v>
      </c>
      <c r="C23" s="75">
        <f>IF(Inputs!B56&gt;0,(Inputs!A56-Inputs!B56)/(DATE(YEAR(Inputs!$B$76),MONTH(Inputs!$B$76),DAY(Inputs!$B$76))-DATE(YEAR(Inputs!C56),MONTH(Inputs!C56),DAY(Inputs!C56)))*30,0)</f>
        <v>67.87330316742081</v>
      </c>
      <c r="D23" s="75">
        <f>IF(Inputs!B56&gt;0,Inputs!A56*0.22/12,0)</f>
        <v>1375</v>
      </c>
      <c r="E23" s="75">
        <f>IFERROR(ROUNDUP(Inputs!B56/C23,0),0)</f>
        <v>1047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42937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42917</v>
      </c>
      <c r="F33" t="s">
        <v>159</v>
      </c>
      <c r="G33" s="128">
        <f>IF(Inputs!B79="","",DATE(YEAR(Inputs!B79),MONTH(Inputs!B79),DAY(Inputs!B79)))</f>
        <v>42907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42968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42948</v>
      </c>
      <c r="F34" t="s">
        <v>160</v>
      </c>
      <c r="G34" s="128">
        <f>IF(Inputs!B80="","",DATE(YEAR(Inputs!B80),MONTH(Inputs!B80),DAY(Inputs!B80)))</f>
        <v>42937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42999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42979</v>
      </c>
      <c r="F35" t="s">
        <v>162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43029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43009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43060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43040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43090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43070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43101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43152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43132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43180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43160</v>
      </c>
      <c r="F41" t="s">
        <v>226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43211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43191</v>
      </c>
      <c r="F42" t="s">
        <v>227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43241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43272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128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349</v>
      </c>
      <c r="H77" s="12" t="s">
        <v>128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314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165</v>
      </c>
      <c r="J79" s="70" t="s">
        <v>361</v>
      </c>
      <c r="K79" s="12" t="s">
        <v>93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362</v>
      </c>
      <c r="F80" s="12" t="s">
        <v>96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97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