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<sst xmlns="http://schemas.openxmlformats.org/spreadsheetml/2006/main" uniqueCount="369">
  <si>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</si>
  <si>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</si>
  <si>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</si>
  <si>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</si>
  <si>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</si>
  <si>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</si>
  <si>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</si>
  <si>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</si>
  <si>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</si>
  <si>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</si>
  <si>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</si>
  <si>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</si>
  <si>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</si>
  <si>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</si>
  <si>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</si>
  <si>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</si>
  <si>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</si>
  <si>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</si>
  <si>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</si>
  <si>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</si>
  <si>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</si>
  <si>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</si>
  <si>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</si>
  <si>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</si>
  <si>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</si>
  <si>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</si>
  <si>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</si>
  <si>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</si>
  <si>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</si>
  <si>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</si>
  <si>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</si>
  <si>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</si>
  <si>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</si>
  <si>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</si>
  <si>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</si>
  <si>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</si>
  <si>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</si>
  <si>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</si>
  <si>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</si>
  <si>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</si>
  <si>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</si>
  <si>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</si>
  <si>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</si>
  <si>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</si>
  <si>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</si>
  <si>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</si>
  <si>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</si>
  <si>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</si>
  <si>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</si>
  <si>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</si>
  <si>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</si>
  <si>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</si>
  <si>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</si>
  <si>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</si>
  <si>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</si>
  <si>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</si>
  <si>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</si>
  <si>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</si>
  <si>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</si>
  <si>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</si>
  <si>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</si>
  <si>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</si>
  <si>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</si>
  <si>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</si>
  <si>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</si>
  <si>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</si>
  <si>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</si>
  <si>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</si>
  <si>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</si>
  <si>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</si>
  <si>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</si>
  <si>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</si>
  <si>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</si>
  <si>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</si>
  <si>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</si>
  <si>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</si>
  <si>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</si>
  <si>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</si>
  <si>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</si>
  <si>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</si>
  <si>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</si>
  <si>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</si>
  <si>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</si>
  <si>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</si>
  <si>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</si>
  <si>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</si>
  <si>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</si>
  <si>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</si>
  <si>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</si>
  <si>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</si>
  <si>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</si>
  <si>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both manure and inorganic</t>
  </si>
  <si>
    <t>Yes</t>
  </si>
  <si>
    <t>Yes without the use of a pump</t>
  </si>
  <si>
    <t>September</t>
  </si>
  <si>
    <t>Onions</t>
  </si>
  <si>
    <t>Other crops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</si>
  <si>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</si>
  <si>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</si>
  <si>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</si>
  <si>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</si>
  <si>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</si>
  <si>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</si>
  <si>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</si>
  <si>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</si>
  <si>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</si>
  <si>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</si>
  <si>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</si>
  <si>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</si>
  <si>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</si>
  <si>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</si>
  <si>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</si>
  <si>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</si>
  <si>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</si>
  <si>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Construction of green houses at a fee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</si>
  <si>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</si>
  <si>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</si>
  <si>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</si>
  <si>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</si>
  <si>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</si>
  <si>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</si>
  <si>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</si>
  <si>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 xml:space="preserve">Land purchase payment </t>
  </si>
  <si>
    <t>November</t>
  </si>
  <si>
    <t>Assets and liabilities</t>
  </si>
  <si>
    <t>Is the land yours?</t>
  </si>
  <si>
    <t>No</t>
  </si>
  <si>
    <t>Land rent amount/ year</t>
  </si>
  <si>
    <t>Month when land rent is paid</t>
  </si>
  <si>
    <t>December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</si>
  <si>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</si>
  <si>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</si>
  <si>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</si>
  <si>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</si>
  <si>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</si>
  <si>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</si>
  <si>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</si>
  <si>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</si>
  <si>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</si>
  <si>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</si>
  <si>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</si>
  <si>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</si>
  <si>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</si>
  <si>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</si>
  <si>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</si>
  <si>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</si>
  <si>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9/18/2015</t>
  </si>
  <si>
    <t xml:space="preserve">family Bank </t>
  </si>
  <si>
    <t xml:space="preserve">cleared </t>
  </si>
  <si>
    <t>Mpesa &amp; bank cash flows (from past statements)</t>
  </si>
  <si>
    <t>Cash inflows</t>
  </si>
  <si>
    <t>Cash outflows</t>
  </si>
  <si>
    <t>May</t>
  </si>
  <si>
    <t>April</t>
  </si>
  <si>
    <t>March</t>
  </si>
  <si>
    <t>February</t>
  </si>
  <si>
    <t>January</t>
  </si>
  <si>
    <t>Loan info</t>
  </si>
  <si>
    <t>Branch ID</t>
  </si>
  <si>
    <t>Submission date</t>
  </si>
  <si>
    <t>2017/6/22</t>
  </si>
  <si>
    <t>Loan terms</t>
  </si>
  <si>
    <t>Expected disbursement date</t>
  </si>
  <si>
    <t>Expected first repayment date</t>
  </si>
  <si>
    <t>2017/7/22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</si>
  <si>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</si>
  <si>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</si>
  <si>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</si>
  <si>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</si>
  <si>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</si>
  <si>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</si>
  <si>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</si>
  <si>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</si>
  <si>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</si>
  <si>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</si>
  <si>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</si>
  <si>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</si>
  <si>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</si>
  <si>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</si>
  <si>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</si>
  <si>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</si>
  <si>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</si>
  <si>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</si>
  <si>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</si>
  <si>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</si>
  <si>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</si>
  <si>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</si>
  <si>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</si>
  <si>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</si>
  <si>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</si>
  <si>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</si>
  <si>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</si>
  <si>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</si>
  <si>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</si>
  <si>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</si>
  <si>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</si>
  <si>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</si>
  <si>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</si>
  <si>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</si>
  <si>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</si>
  <si>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</si>
  <si>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</si>
  <si>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</si>
  <si>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</si>
  <si>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</si>
  <si>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</si>
  <si>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</si>
  <si>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</si>
  <si>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</si>
  <si>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</si>
  <si>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</si>
  <si>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</si>
  <si>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</si>
  <si>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</si>
  <si>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</si>
  <si>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</si>
  <si>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</si>
  <si>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</si>
  <si>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</si>
  <si>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</si>
  <si>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</si>
  <si>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</si>
  <si>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</si>
  <si>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</si>
  <si>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</si>
  <si>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</si>
  <si>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</si>
  <si>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</si>
  <si>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</si>
  <si>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</si>
  <si>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</si>
  <si>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</si>
  <si>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</si>
  <si>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</si>
  <si>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</si>
  <si>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</si>
  <si>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</si>
  <si>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</si>
  <si>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</si>
  <si>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</si>
  <si>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</si>
  <si>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</si>
  <si>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</si>
  <si>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</si>
  <si>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</si>
  <si>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</si>
  <si>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</si>
  <si>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</si>
  <si>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</si>
  <si>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</si>
  <si>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</si>
  <si>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</si>
  <si>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</si>
  <si>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</si>
  <si>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</si>
  <si>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</si>
  <si>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</si>
  <si>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</si>
  <si>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</si>
  <si>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</si>
  <si>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</si>
  <si>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</si>
  <si>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</si>
  <si>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</si>
  <si>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</si>
  <si>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</si>
  <si>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</si>
  <si>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</si>
  <si>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</si>
  <si>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</si>
  <si>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</si>
  <si>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</si>
  <si>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</si>
  <si>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</si>
  <si>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</si>
  <si>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Potatoes</t>
  </si>
  <si>
    <t>Sweet potatoes</t>
  </si>
  <si>
    <t>Tea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</si>
  <si>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</si>
  <si>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</si>
  <si>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</si>
  <si>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</si>
  <si>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</si>
  <si>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</si>
  <si>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</si>
  <si>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</si>
  <si>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</si>
  <si>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</si>
  <si>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</si>
  <si>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</si>
  <si>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</si>
  <si>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</si>
  <si>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</si>
  <si>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</si>
  <si>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</si>
  <si>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</si>
  <si>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</si>
  <si>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</si>
  <si>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</si>
  <si>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</si>
  <si>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</si>
  <si>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</si>
  <si>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</si>
  <si>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</si>
  <si>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</si>
  <si>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</si>
  <si>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</si>
  <si>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</si>
  <si>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</si>
  <si>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</si>
  <si>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</si>
  <si>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</si>
  <si>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</si>
  <si>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</si>
  <si>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</si>
  <si>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</si>
  <si>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</si>
  <si>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</si>
  <si>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</si>
  <si>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</si>
  <si>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</si>
  <si>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</si>
  <si>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</si>
  <si>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</si>
  <si>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</si>
  <si>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</si>
  <si>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</si>
  <si>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</si>
  <si>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</si>
  <si>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</si>
  <si>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</si>
  <si>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</si>
  <si>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</si>
  <si>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</si>
  <si>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</si>
  <si>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</si>
  <si>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</si>
  <si>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</si>
  <si>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</si>
  <si>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</si>
  <si>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</si>
  <si>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</si>
  <si>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</si>
  <si>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</si>
  <si>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</si>
  <si>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</si>
  <si>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</si>
  <si>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</si>
  <si>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</si>
  <si>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</si>
  <si>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</si>
  <si>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</si>
  <si>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</si>
  <si>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</si>
  <si>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</si>
  <si>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</si>
  <si>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</si>
  <si>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</si>
  <si>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</si>
  <si>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</si>
  <si>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</si>
  <si>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</si>
  <si>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</si>
  <si>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</si>
  <si>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NGO</t>
  </si>
  <si>
    <t>June</t>
  </si>
  <si>
    <t>July</t>
  </si>
  <si>
    <t>August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</si>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</sst>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Onions,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Construction of green houses at a fee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0.2394792055701219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0.1098901098901099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228240.5394523673</v>
      </c>
    </row>
    <row r="18" spans="1:7">
      <c r="B18" s="1" t="s">
        <v>12</v>
      </c>
      <c r="C18" s="36">
        <f>MIN(Output!B6:M6)</f>
        <v>-47770.30774735374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172846.8084629524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80000</v>
      </c>
    </row>
    <row r="25" spans="1:7">
      <c r="B25" s="1" t="s">
        <v>18</v>
      </c>
      <c r="C25" s="36">
        <f>MAX(Inputs!A56:A60)</f>
        <v>80000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1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172846.8084629524</v>
      </c>
      <c r="C6" s="51">
        <f>C30-C88</f>
        <v>8917.192252646259</v>
      </c>
      <c r="D6" s="51">
        <f>D30-D88</f>
        <v>8917.192252646259</v>
      </c>
      <c r="E6" s="51">
        <f>E30-E88</f>
        <v>-1520.307747353741</v>
      </c>
      <c r="F6" s="51">
        <f>F30-F88</f>
        <v>6729.692252646259</v>
      </c>
      <c r="G6" s="51">
        <f>G30-G88</f>
        <v>-47770.30774735374</v>
      </c>
      <c r="H6" s="51">
        <f>H30-H88</f>
        <v>52846.80846295235</v>
      </c>
      <c r="I6" s="51">
        <f>I30-I88</f>
        <v>8917.192252646259</v>
      </c>
      <c r="J6" s="51">
        <f>J30-J88</f>
        <v>8917.192252646259</v>
      </c>
      <c r="K6" s="51">
        <f>K30-K88</f>
        <v>479.6922526462586</v>
      </c>
      <c r="L6" s="51">
        <f>L30-L88</f>
        <v>6729.692252646259</v>
      </c>
      <c r="M6" s="51">
        <f>M30-M88</f>
        <v>2229.692252646259</v>
      </c>
      <c r="N6" s="51">
        <f>N30-N88</f>
        <v>172846.8084629524</v>
      </c>
      <c r="O6" s="51">
        <f>O30-O88</f>
        <v>8917.192252646259</v>
      </c>
      <c r="P6" s="51">
        <f>P30-P88</f>
        <v>8917.192252646259</v>
      </c>
      <c r="Q6" s="51">
        <f>Q30-Q88</f>
        <v>-1520.307747353741</v>
      </c>
      <c r="R6" s="51">
        <f>R30-R88</f>
        <v>6729.692252646259</v>
      </c>
      <c r="S6" s="51">
        <f>S30-S88</f>
        <v>2229.692252646259</v>
      </c>
      <c r="T6" s="51">
        <f>T30-T88</f>
        <v>52846.80846295235</v>
      </c>
      <c r="U6" s="51">
        <f>U30-U88</f>
        <v>8917.192252646259</v>
      </c>
      <c r="V6" s="51">
        <f>V30-V88</f>
        <v>8917.192252646259</v>
      </c>
      <c r="W6" s="51">
        <f>W30-W88</f>
        <v>479.6922526462586</v>
      </c>
      <c r="X6" s="51">
        <f>X30-X88</f>
        <v>6729.692252646259</v>
      </c>
      <c r="Y6" s="51">
        <f>Y30-Y88</f>
        <v>2229.692252646259</v>
      </c>
      <c r="Z6" s="51">
        <f>SUMIF($B$13:$Y$13,"Yes",B6:Y6)</f>
        <v>401087.3479153196</v>
      </c>
      <c r="AA6" s="51">
        <f>AA30-AA88</f>
        <v>228240.5394523672</v>
      </c>
      <c r="AB6" s="51">
        <f>AB30-AB88</f>
        <v>506481.078904734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200</v>
      </c>
      <c r="I7" s="80">
        <f>IF(ISERROR(VLOOKUP(MONTH(I5),Inputs!$D$66:$D$71,1,0)),"",INDEX(Inputs!$B$66:$B$71,MATCH(MONTH(Output!I5),Inputs!$D$66:$D$71,0))-INDEX(Inputs!$C$66:$C$71,MATCH(MONTH(Output!I5),Inputs!$D$66:$D$71,0)))</f>
        <v>0</v>
      </c>
      <c r="J7" s="80">
        <f>IF(ISERROR(VLOOKUP(MONTH(J5),Inputs!$D$66:$D$71,1,0)),"",INDEX(Inputs!$B$66:$B$71,MATCH(MONTH(Output!J5),Inputs!$D$66:$D$71,0))-INDEX(Inputs!$C$66:$C$71,MATCH(MONTH(Output!J5),Inputs!$D$66:$D$71,0)))</f>
        <v>500</v>
      </c>
      <c r="K7" s="80">
        <f>IF(ISERROR(VLOOKUP(MONTH(K5),Inputs!$D$66:$D$71,1,0)),"",INDEX(Inputs!$B$66:$B$71,MATCH(MONTH(Output!K5),Inputs!$D$66:$D$71,0))-INDEX(Inputs!$C$66:$C$71,MATCH(MONTH(Output!K5),Inputs!$D$66:$D$71,0)))</f>
        <v>0</v>
      </c>
      <c r="L7" s="80">
        <f>IF(ISERROR(VLOOKUP(MONTH(L5),Inputs!$D$66:$D$71,1,0)),"",INDEX(Inputs!$B$66:$B$71,MATCH(MONTH(Output!L5),Inputs!$D$66:$D$71,0))-INDEX(Inputs!$C$66:$C$71,MATCH(MONTH(Output!L5),Inputs!$D$66:$D$71,0)))</f>
        <v>200</v>
      </c>
      <c r="M7" s="80">
        <f>IF(ISERROR(VLOOKUP(MONTH(M5),Inputs!$D$66:$D$71,1,0)),"",INDEX(Inputs!$B$66:$B$71,MATCH(MONTH(Output!M5),Inputs!$D$66:$D$71,0))-INDEX(Inputs!$C$66:$C$71,MATCH(MONTH(Output!M5),Inputs!$D$66:$D$71,0)))</f>
        <v>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200</v>
      </c>
      <c r="U7" s="80">
        <f>IF(ISERROR(VLOOKUP(MONTH(U5),Inputs!$D$66:$D$71,1,0)),"",INDEX(Inputs!$B$66:$B$71,MATCH(MONTH(Output!U5),Inputs!$D$66:$D$71,0))-INDEX(Inputs!$C$66:$C$71,MATCH(MONTH(Output!U5),Inputs!$D$66:$D$71,0)))</f>
        <v>0</v>
      </c>
      <c r="V7" s="80">
        <f>IF(ISERROR(VLOOKUP(MONTH(V5),Inputs!$D$66:$D$71,1,0)),"",INDEX(Inputs!$B$66:$B$71,MATCH(MONTH(Output!V5),Inputs!$D$66:$D$71,0))-INDEX(Inputs!$C$66:$C$71,MATCH(MONTH(Output!V5),Inputs!$D$66:$D$71,0)))</f>
        <v>500</v>
      </c>
      <c r="W7" s="80">
        <f>IF(ISERROR(VLOOKUP(MONTH(W5),Inputs!$D$66:$D$71,1,0)),"",INDEX(Inputs!$B$66:$B$71,MATCH(MONTH(Output!W5),Inputs!$D$66:$D$71,0))-INDEX(Inputs!$C$66:$C$71,MATCH(MONTH(Output!W5),Inputs!$D$66:$D$71,0)))</f>
        <v>0</v>
      </c>
      <c r="X7" s="80">
        <f>IF(ISERROR(VLOOKUP(MONTH(X5),Inputs!$D$66:$D$71,1,0)),"",INDEX(Inputs!$B$66:$B$71,MATCH(MONTH(Output!X5),Inputs!$D$66:$D$71,0))-INDEX(Inputs!$C$66:$C$71,MATCH(MONTH(Output!X5),Inputs!$D$66:$D$71,0)))</f>
        <v>200</v>
      </c>
      <c r="Y7" s="80">
        <f>IF(ISERROR(VLOOKUP(MONTH(Y5),Inputs!$D$66:$D$71,1,0)),"",INDEX(Inputs!$B$66:$B$71,MATCH(MONTH(Output!Y5),Inputs!$D$66:$D$71,0))-INDEX(Inputs!$C$66:$C$71,MATCH(MONTH(Output!Y5),Inputs!$D$66:$D$71,0)))</f>
        <v>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272846.8084629524</v>
      </c>
      <c r="C11" s="80">
        <f>C6+C9-C10</f>
        <v>-1082.807747353741</v>
      </c>
      <c r="D11" s="80">
        <f>D6+D9-D10</f>
        <v>-1082.807747353741</v>
      </c>
      <c r="E11" s="80">
        <f>E6+E9-E10</f>
        <v>-11520.30774735374</v>
      </c>
      <c r="F11" s="80">
        <f>F6+F9-F10</f>
        <v>-3270.307747353741</v>
      </c>
      <c r="G11" s="80">
        <f>G6+G9-G10</f>
        <v>-57770.30774735374</v>
      </c>
      <c r="H11" s="80">
        <f>H6+H9-H10</f>
        <v>42846.80846295235</v>
      </c>
      <c r="I11" s="80">
        <f>I6+I9-I10</f>
        <v>-1082.807747353741</v>
      </c>
      <c r="J11" s="80">
        <f>J6+J9-J10</f>
        <v>-1082.807747353741</v>
      </c>
      <c r="K11" s="80">
        <f>K6+K9-K10</f>
        <v>-9520.307747353741</v>
      </c>
      <c r="L11" s="80">
        <f>L6+L9-L10</f>
        <v>-3270.307747353741</v>
      </c>
      <c r="M11" s="80">
        <f>M6+M9-M10</f>
        <v>-7770.307747353741</v>
      </c>
      <c r="N11" s="80">
        <f>N6+N9-N10</f>
        <v>162846.8084629524</v>
      </c>
      <c r="O11" s="80">
        <f>O6+O9-O10</f>
        <v>8917.192252646259</v>
      </c>
      <c r="P11" s="80">
        <f>P6+P9-P10</f>
        <v>8917.192252646259</v>
      </c>
      <c r="Q11" s="80">
        <f>Q6+Q9-Q10</f>
        <v>-1520.307747353741</v>
      </c>
      <c r="R11" s="80">
        <f>R6+R9-R10</f>
        <v>6729.692252646259</v>
      </c>
      <c r="S11" s="80">
        <f>S6+S9-S10</f>
        <v>2229.692252646259</v>
      </c>
      <c r="T11" s="80">
        <f>T6+T9-T10</f>
        <v>52846.80846295235</v>
      </c>
      <c r="U11" s="80">
        <f>U6+U9-U10</f>
        <v>8917.192252646259</v>
      </c>
      <c r="V11" s="80">
        <f>V6+V9-V10</f>
        <v>8917.192252646259</v>
      </c>
      <c r="W11" s="80">
        <f>W6+W9-W10</f>
        <v>479.6922526462586</v>
      </c>
      <c r="X11" s="80">
        <f>X6+X9-X10</f>
        <v>6729.692252646259</v>
      </c>
      <c r="Y11" s="80">
        <f>Y6+Y9-Y10</f>
        <v>2229.692252646259</v>
      </c>
      <c r="Z11" s="85">
        <f>SUMIF($B$13:$Y$13,"Yes",B11:Y11)</f>
        <v>381087.3479153197</v>
      </c>
      <c r="AA11" s="80">
        <f>SUM(B11:M11)</f>
        <v>218240.5394523673</v>
      </c>
      <c r="AB11" s="46">
        <f>SUM(B11:Y11)</f>
        <v>486481.0789047346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0.03549069424980803</v>
      </c>
      <c r="D12" s="82">
        <f>IF(D13="Yes",IF(SUM($B$10:D10)/(SUM($B$6:D6)+SUM($B$9:D9))&lt;0,999.99,SUM($B$10:D10)/(SUM($B$6:D6)+SUM($B$9:D9))),"")</f>
        <v>0.06880390091898679</v>
      </c>
      <c r="E12" s="82">
        <f>IF(E13="Yes",IF(SUM($B$10:E10)/(SUM($B$6:E6)+SUM($B$9:E9))&lt;0,999.99,SUM($B$10:E10)/(SUM($B$6:E6)+SUM($B$9:E9))),"")</f>
        <v>0.1037484719867381</v>
      </c>
      <c r="F12" s="82">
        <f>IF(F13="Yes",IF(SUM($B$10:F10)/(SUM($B$6:F6)+SUM($B$9:F9))&lt;0,999.99,SUM($B$10:F10)/(SUM($B$6:F6)+SUM($B$9:F9))),"")</f>
        <v>0.1351851091087121</v>
      </c>
      <c r="G12" s="82">
        <f>IF(G13="Yes",IF(SUM($B$10:G10)/(SUM($B$6:G6)+SUM($B$9:G9))&lt;0,999.99,SUM($B$10:G10)/(SUM($B$6:G6)+SUM($B$9:G9))),"")</f>
        <v>0.2015151767132051</v>
      </c>
      <c r="H12" s="82">
        <f>IF(H13="Yes",IF(SUM($B$10:H10)/(SUM($B$6:H6)+SUM($B$9:H9))&lt;0,999.99,SUM($B$10:H10)/(SUM($B$6:H6)+SUM($B$9:H9))),"")</f>
        <v>0.1993573528407461</v>
      </c>
      <c r="I12" s="82">
        <f>IF(I13="Yes",IF(SUM($B$10:I10)/(SUM($B$6:I6)+SUM($B$9:I9))&lt;0,999.99,SUM($B$10:I10)/(SUM($B$6:I6)+SUM($B$9:I9))),"")</f>
        <v>0.2258907814204492</v>
      </c>
      <c r="J12" s="82">
        <f>IF(J13="Yes",IF(SUM($B$10:J10)/(SUM($B$6:J6)+SUM($B$9:J9))&lt;0,999.99,SUM($B$10:J10)/(SUM($B$6:J6)+SUM($B$9:J9))),"")</f>
        <v>0.2509398775145523</v>
      </c>
      <c r="K12" s="82">
        <f>IF(K13="Yes",IF(SUM($B$10:K10)/(SUM($B$6:K6)+SUM($B$9:K9))&lt;0,999.99,SUM($B$10:K10)/(SUM($B$6:K6)+SUM($B$9:K9))),"")</f>
        <v>0.2818832198690798</v>
      </c>
      <c r="L12" s="82">
        <f>IF(L13="Yes",IF(SUM($B$10:L10)/(SUM($B$6:L6)+SUM($B$9:L9))&lt;0,999.99,SUM($B$10:L10)/(SUM($B$6:L6)+SUM($B$9:L9))),"")</f>
        <v>0.3067382599657426</v>
      </c>
      <c r="M12" s="82">
        <f>IF(M13="Yes",IF(SUM($B$10:M10)/(SUM($B$6:M6)+SUM($B$9:M9))&lt;0,999.99,SUM($B$10:M10)/(SUM($B$6:M6)+SUM($B$9:M9))),"")</f>
        <v>0.3351200926720469</v>
      </c>
      <c r="N12" s="82">
        <f>IF(N13="Yes",IF(SUM($B$10:N10)/(SUM($B$6:N6)+SUM($B$9:N9))&lt;0,999.99,SUM($B$10:N10)/(SUM($B$6:N6)+SUM($B$9:N9))),"")</f>
        <v>0.2394792055701219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168117.1162103061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168117.1162103061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168117.1162103061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168117.1162103061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504351.3486309183</v>
      </c>
      <c r="AA18" s="36">
        <f>SUM(B18:M18)</f>
        <v>336234.2324206122</v>
      </c>
      <c r="AB18" s="36">
        <f>SUM(B18:Y18)</f>
        <v>672468.4648412244</v>
      </c>
      <c r="AC18" s="43"/>
      <c r="AD18" s="43"/>
    </row>
    <row r="19" spans="1:30">
      <c r="A19" t="str">
        <f>IF(Calculations!A5&lt;&gt;Parameters!$A$18,IF(Calculations!A5=0,"",Calculations!A5),Inputs!B8)</f>
        <v>Onions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198117.1162103061</v>
      </c>
      <c r="C30" s="19">
        <f>SUM(C18:C29)</f>
        <v>30000</v>
      </c>
      <c r="D30" s="19">
        <f>SUM(D18:D29)</f>
        <v>30000</v>
      </c>
      <c r="E30" s="19">
        <f>SUM(E18:E29)</f>
        <v>30000</v>
      </c>
      <c r="F30" s="19">
        <f>SUM(F18:F29)</f>
        <v>30000</v>
      </c>
      <c r="G30" s="19">
        <f>SUM(G18:G29)</f>
        <v>30000</v>
      </c>
      <c r="H30" s="19">
        <f>SUM(H18:H29)</f>
        <v>198117.1162103061</v>
      </c>
      <c r="I30" s="19">
        <f>SUM(I18:I29)</f>
        <v>30000</v>
      </c>
      <c r="J30" s="19">
        <f>SUM(J18:J29)</f>
        <v>30000</v>
      </c>
      <c r="K30" s="19">
        <f>SUM(K18:K29)</f>
        <v>30000</v>
      </c>
      <c r="L30" s="19">
        <f>SUM(L18:L29)</f>
        <v>30000</v>
      </c>
      <c r="M30" s="19">
        <f>SUM(M18:M29)</f>
        <v>30000</v>
      </c>
      <c r="N30" s="19">
        <f>SUM(N18:N29)</f>
        <v>198117.1162103061</v>
      </c>
      <c r="O30" s="19">
        <f>SUM(O18:O29)</f>
        <v>30000</v>
      </c>
      <c r="P30" s="19">
        <f>SUM(P18:P29)</f>
        <v>30000</v>
      </c>
      <c r="Q30" s="19">
        <f>SUM(Q18:Q29)</f>
        <v>30000</v>
      </c>
      <c r="R30" s="19">
        <f>SUM(R18:R29)</f>
        <v>30000</v>
      </c>
      <c r="S30" s="19">
        <f>SUM(S18:S29)</f>
        <v>30000</v>
      </c>
      <c r="T30" s="19">
        <f>SUM(T18:T29)</f>
        <v>198117.1162103061</v>
      </c>
      <c r="U30" s="19">
        <f>SUM(U18:U29)</f>
        <v>30000</v>
      </c>
      <c r="V30" s="19">
        <f>SUM(V18:V29)</f>
        <v>30000</v>
      </c>
      <c r="W30" s="19">
        <f>SUM(W18:W29)</f>
        <v>30000</v>
      </c>
      <c r="X30" s="19">
        <f>SUM(X18:X29)</f>
        <v>30000</v>
      </c>
      <c r="Y30" s="19">
        <f>SUM(Y18:Y29)</f>
        <v>30000</v>
      </c>
      <c r="Z30" s="19">
        <f>SUMIF($B$13:$Y$13,"Yes",B30:Y30)</f>
        <v>894351.3486309182</v>
      </c>
      <c r="AA30" s="19">
        <f>SUM(B30:M30)</f>
        <v>696234.2324206121</v>
      </c>
      <c r="AB30" s="19">
        <f>SUM(B30:Y30)</f>
        <v>1392468.464841224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6000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4000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6000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4000</v>
      </c>
      <c r="X36" s="36">
        <f>SUM(X37:X41)</f>
        <v>0</v>
      </c>
      <c r="Y36" s="36">
        <f>SUM(Y37:Y41)</f>
        <v>0</v>
      </c>
      <c r="Z36" s="36">
        <f>SUMIF($B$13:$Y$13,"Yes",B36:Y36)</f>
        <v>10000</v>
      </c>
      <c r="AA36" s="36">
        <f>SUM(B36:M36)</f>
        <v>10000</v>
      </c>
      <c r="AB36" s="36">
        <f>SUM(B36:Y36)</f>
        <v>20000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2000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2000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2000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2000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Onions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2000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2000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2000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2000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4000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2000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2000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2000</v>
      </c>
      <c r="AA39" s="36">
        <f>SUM(B39:M39)</f>
        <v>2000</v>
      </c>
      <c r="AB39" s="36">
        <f>SUM(B39:Y39)</f>
        <v>4000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2250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2250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2250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2250</v>
      </c>
      <c r="X42" s="36">
        <f>SUM(X43:X47)</f>
        <v>0</v>
      </c>
      <c r="Y42" s="36">
        <f>SUM(Y43:Y47)</f>
        <v>0</v>
      </c>
      <c r="Z42" s="36">
        <f>SUMIF($B$13:$Y$13,"Yes",B42:Y42)</f>
        <v>4500</v>
      </c>
      <c r="AA42" s="36">
        <f>SUM(B42:M42)</f>
        <v>4500</v>
      </c>
      <c r="AB42" s="36">
        <f>SUM(B42:Y42)</f>
        <v>9000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750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750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750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750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1500</v>
      </c>
      <c r="AA43" s="36">
        <f>SUM(B43:M43)</f>
        <v>1500</v>
      </c>
      <c r="AB43" s="36">
        <f>SUM(B43:Y43)</f>
        <v>3000</v>
      </c>
    </row>
    <row r="44" spans="1:30" hidden="true" outlineLevel="1">
      <c r="A44" s="181" t="str">
        <f>Calculations!$A$5</f>
        <v>Onions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1500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1500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1500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1500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3000</v>
      </c>
      <c r="AA44" s="36">
        <f>SUM(B44:M44)</f>
        <v>3000</v>
      </c>
      <c r="AB44" s="36">
        <f>SUM(B44:Y44)</f>
        <v>6000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2000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4500</v>
      </c>
      <c r="H48" s="36">
        <f>T48</f>
        <v>2000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4500</v>
      </c>
      <c r="N48" s="46">
        <f>SUM(N49:N53)</f>
        <v>2000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4500</v>
      </c>
      <c r="T48" s="46">
        <f>SUM(T49:T53)</f>
        <v>2000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4500</v>
      </c>
      <c r="Z48" s="46">
        <f>SUMIF($B$13:$Y$13,"Yes",B48:Y48)</f>
        <v>15000</v>
      </c>
      <c r="AA48" s="46">
        <f>SUM(B48:M48)</f>
        <v>13000</v>
      </c>
      <c r="AB48" s="46">
        <f>SUM(B48:Y48)</f>
        <v>26000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4500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4500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4500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4500</v>
      </c>
      <c r="Z49" s="46">
        <f>SUMIF($B$13:$Y$13,"Yes",B49:Y49)</f>
        <v>9000</v>
      </c>
      <c r="AA49" s="46">
        <f>SUM(B49:M49)</f>
        <v>9000</v>
      </c>
      <c r="AB49" s="46">
        <f>SUM(B49:Y49)</f>
        <v>18000</v>
      </c>
    </row>
    <row r="50" spans="1:30" hidden="true" outlineLevel="1">
      <c r="A50" s="181" t="str">
        <f>Calculations!$A$5</f>
        <v>Onions</v>
      </c>
      <c r="B50" s="36">
        <f>N50</f>
        <v>2000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2000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2000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2000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6000</v>
      </c>
      <c r="AA50" s="46">
        <f>SUM(B50:M50)</f>
        <v>4000</v>
      </c>
      <c r="AB50" s="46">
        <f>SUM(B50:Y50)</f>
        <v>8000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Onions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Onions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2812.5</v>
      </c>
      <c r="C66" s="36">
        <f>O66</f>
        <v>625</v>
      </c>
      <c r="D66" s="36">
        <f>P66</f>
        <v>625</v>
      </c>
      <c r="E66" s="36">
        <f>Q66</f>
        <v>2812.5</v>
      </c>
      <c r="F66" s="36">
        <f>R66</f>
        <v>2812.5</v>
      </c>
      <c r="G66" s="36">
        <f>S66</f>
        <v>2812.5</v>
      </c>
      <c r="H66" s="36">
        <f>T66</f>
        <v>2812.5</v>
      </c>
      <c r="I66" s="36">
        <f>U66</f>
        <v>625</v>
      </c>
      <c r="J66" s="36">
        <f>V66</f>
        <v>625</v>
      </c>
      <c r="K66" s="36">
        <f>W66</f>
        <v>2812.5</v>
      </c>
      <c r="L66" s="36">
        <f>X66</f>
        <v>2812.5</v>
      </c>
      <c r="M66" s="36">
        <f>Y66</f>
        <v>2812.5</v>
      </c>
      <c r="N66" s="46">
        <f>SUM(N67:N71)</f>
        <v>2812.5</v>
      </c>
      <c r="O66" s="46">
        <f>SUM(O67:O71)</f>
        <v>625</v>
      </c>
      <c r="P66" s="46">
        <f>SUM(P67:P71)</f>
        <v>625</v>
      </c>
      <c r="Q66" s="46">
        <f>SUM(Q67:Q71)</f>
        <v>2812.5</v>
      </c>
      <c r="R66" s="46">
        <f>SUM(R67:R71)</f>
        <v>2812.5</v>
      </c>
      <c r="S66" s="46">
        <f>SUM(S67:S71)</f>
        <v>2812.5</v>
      </c>
      <c r="T66" s="46">
        <f>SUM(T67:T71)</f>
        <v>2812.5</v>
      </c>
      <c r="U66" s="46">
        <f>SUM(U67:U71)</f>
        <v>625</v>
      </c>
      <c r="V66" s="46">
        <f>SUM(V67:V71)</f>
        <v>625</v>
      </c>
      <c r="W66" s="46">
        <f>SUM(W67:W71)</f>
        <v>2812.5</v>
      </c>
      <c r="X66" s="46">
        <f>SUM(X67:X71)</f>
        <v>2812.5</v>
      </c>
      <c r="Y66" s="46">
        <f>SUM(Y67:Y71)</f>
        <v>2812.5</v>
      </c>
      <c r="Z66" s="46">
        <f>SUMIF($B$13:$Y$13,"Yes",B66:Y66)</f>
        <v>27812.5</v>
      </c>
      <c r="AA66" s="46">
        <f>SUM(B66:M66)</f>
        <v>25000</v>
      </c>
      <c r="AB66" s="46">
        <f>SUM(B66:Y66)</f>
        <v>50000</v>
      </c>
    </row>
    <row r="67" spans="1:30" hidden="true" outlineLevel="1">
      <c r="A67" s="181" t="str">
        <f>Calculations!$A$4</f>
        <v>Tomatoes</v>
      </c>
      <c r="B67" s="36">
        <f>N67</f>
        <v>2187.5</v>
      </c>
      <c r="C67" s="36">
        <f>O67</f>
        <v>0</v>
      </c>
      <c r="D67" s="36">
        <f>P67</f>
        <v>0</v>
      </c>
      <c r="E67" s="36">
        <f>Q67</f>
        <v>2187.5</v>
      </c>
      <c r="F67" s="36">
        <f>R67</f>
        <v>2187.5</v>
      </c>
      <c r="G67" s="36">
        <f>S67</f>
        <v>2187.5</v>
      </c>
      <c r="H67" s="36">
        <f>T67</f>
        <v>2187.5</v>
      </c>
      <c r="I67" s="36">
        <f>U67</f>
        <v>0</v>
      </c>
      <c r="J67" s="36">
        <f>V67</f>
        <v>0</v>
      </c>
      <c r="K67" s="36">
        <f>W67</f>
        <v>2187.5</v>
      </c>
      <c r="L67" s="36">
        <f>X67</f>
        <v>2187.5</v>
      </c>
      <c r="M67" s="36">
        <f>Y67</f>
        <v>2187.5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2187.5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2187.5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2187.5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2187.5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2187.5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2187.5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2187.5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2187.5</v>
      </c>
      <c r="Z67" s="46">
        <f>SUMIF($B$13:$Y$13,"Yes",B67:Y67)</f>
        <v>19687.5</v>
      </c>
      <c r="AA67" s="46">
        <f>SUM(B67:M67)</f>
        <v>17500</v>
      </c>
      <c r="AB67" s="46">
        <f>SUM(B67:Y67)</f>
        <v>35000</v>
      </c>
    </row>
    <row r="68" spans="1:30" hidden="true" outlineLevel="1">
      <c r="A68" s="181" t="str">
        <f>Calculations!$A$5</f>
        <v>Onions</v>
      </c>
      <c r="B68" s="36">
        <f>N68</f>
        <v>625</v>
      </c>
      <c r="C68" s="36">
        <f>O68</f>
        <v>625</v>
      </c>
      <c r="D68" s="36">
        <f>P68</f>
        <v>625</v>
      </c>
      <c r="E68" s="36">
        <f>Q68</f>
        <v>625</v>
      </c>
      <c r="F68" s="36">
        <f>R68</f>
        <v>625</v>
      </c>
      <c r="G68" s="36">
        <f>S68</f>
        <v>625</v>
      </c>
      <c r="H68" s="36">
        <f>T68</f>
        <v>625</v>
      </c>
      <c r="I68" s="36">
        <f>U68</f>
        <v>625</v>
      </c>
      <c r="J68" s="36">
        <f>V68</f>
        <v>625</v>
      </c>
      <c r="K68" s="36">
        <f>W68</f>
        <v>625</v>
      </c>
      <c r="L68" s="36">
        <f>X68</f>
        <v>625</v>
      </c>
      <c r="M68" s="36">
        <f>Y68</f>
        <v>625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625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625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625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625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625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625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625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625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625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625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625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625</v>
      </c>
      <c r="Z68" s="46">
        <f>SUMIF($B$13:$Y$13,"Yes",B68:Y68)</f>
        <v>8125</v>
      </c>
      <c r="AA68" s="46">
        <f>SUM(B68:M68)</f>
        <v>7500</v>
      </c>
      <c r="AB68" s="46">
        <f>SUM(B68:Y68)</f>
        <v>15000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120000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120000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120000</v>
      </c>
      <c r="AA72" s="46">
        <f>SUM(B72:M72)</f>
        <v>120000</v>
      </c>
      <c r="AB72" s="46">
        <f>SUM(B72:Y72)</f>
        <v>240000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50000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50000</v>
      </c>
      <c r="AA80" s="46">
        <f>SUM(B80:M80)</f>
        <v>50000</v>
      </c>
      <c r="AB80" s="46">
        <f>SUM(B80:Y80)</f>
        <v>50000</v>
      </c>
    </row>
    <row r="81" spans="1:30">
      <c r="A81" s="43" t="s">
        <v>51</v>
      </c>
      <c r="B81" s="46">
        <f>(SUM($AA$18:$AA$29)-SUM($AA$36,$AA$42,$AA$48,$AA$54,$AA$60,$AA$66,$AA$72:$AA$79))*Parameters!$B$37/12</f>
        <v>15457.80774735374</v>
      </c>
      <c r="C81" s="46">
        <f>(SUM($AA$18:$AA$29)-SUM($AA$36,$AA$42,$AA$48,$AA$54,$AA$60,$AA$66,$AA$72:$AA$79))*Parameters!$B$37/12</f>
        <v>15457.80774735374</v>
      </c>
      <c r="D81" s="46">
        <f>(SUM($AA$18:$AA$29)-SUM($AA$36,$AA$42,$AA$48,$AA$54,$AA$60,$AA$66,$AA$72:$AA$79))*Parameters!$B$37/12</f>
        <v>15457.80774735374</v>
      </c>
      <c r="E81" s="46">
        <f>(SUM($AA$18:$AA$29)-SUM($AA$36,$AA$42,$AA$48,$AA$54,$AA$60,$AA$66,$AA$72:$AA$79))*Parameters!$B$37/12</f>
        <v>15457.80774735374</v>
      </c>
      <c r="F81" s="46">
        <f>(SUM($AA$18:$AA$29)-SUM($AA$36,$AA$42,$AA$48,$AA$54,$AA$60,$AA$66,$AA$72:$AA$79))*Parameters!$B$37/12</f>
        <v>15457.80774735374</v>
      </c>
      <c r="G81" s="46">
        <f>(SUM($AA$18:$AA$29)-SUM($AA$36,$AA$42,$AA$48,$AA$54,$AA$60,$AA$66,$AA$72:$AA$79))*Parameters!$B$37/12</f>
        <v>15457.80774735374</v>
      </c>
      <c r="H81" s="46">
        <f>(SUM($AA$18:$AA$29)-SUM($AA$36,$AA$42,$AA$48,$AA$54,$AA$60,$AA$66,$AA$72:$AA$79))*Parameters!$B$37/12</f>
        <v>15457.80774735374</v>
      </c>
      <c r="I81" s="46">
        <f>(SUM($AA$18:$AA$29)-SUM($AA$36,$AA$42,$AA$48,$AA$54,$AA$60,$AA$66,$AA$72:$AA$79))*Parameters!$B$37/12</f>
        <v>15457.80774735374</v>
      </c>
      <c r="J81" s="46">
        <f>(SUM($AA$18:$AA$29)-SUM($AA$36,$AA$42,$AA$48,$AA$54,$AA$60,$AA$66,$AA$72:$AA$79))*Parameters!$B$37/12</f>
        <v>15457.80774735374</v>
      </c>
      <c r="K81" s="46">
        <f>(SUM($AA$18:$AA$29)-SUM($AA$36,$AA$42,$AA$48,$AA$54,$AA$60,$AA$66,$AA$72:$AA$79))*Parameters!$B$37/12</f>
        <v>15457.80774735374</v>
      </c>
      <c r="L81" s="46">
        <f>(SUM($AA$18:$AA$29)-SUM($AA$36,$AA$42,$AA$48,$AA$54,$AA$60,$AA$66,$AA$72:$AA$79))*Parameters!$B$37/12</f>
        <v>15457.80774735374</v>
      </c>
      <c r="M81" s="46">
        <f>(SUM($AA$18:$AA$29)-SUM($AA$36,$AA$42,$AA$48,$AA$54,$AA$60,$AA$66,$AA$72:$AA$79))*Parameters!$B$37/12</f>
        <v>15457.80774735374</v>
      </c>
      <c r="N81" s="46">
        <f>(SUM($AA$18:$AA$29)-SUM($AA$36,$AA$42,$AA$48,$AA$54,$AA$60,$AA$66,$AA$72:$AA$79))*Parameters!$B$37/12</f>
        <v>15457.80774735374</v>
      </c>
      <c r="O81" s="46">
        <f>(SUM($AA$18:$AA$29)-SUM($AA$36,$AA$42,$AA$48,$AA$54,$AA$60,$AA$66,$AA$72:$AA$79))*Parameters!$B$37/12</f>
        <v>15457.80774735374</v>
      </c>
      <c r="P81" s="46">
        <f>(SUM($AA$18:$AA$29)-SUM($AA$36,$AA$42,$AA$48,$AA$54,$AA$60,$AA$66,$AA$72:$AA$79))*Parameters!$B$37/12</f>
        <v>15457.80774735374</v>
      </c>
      <c r="Q81" s="46">
        <f>(SUM($AA$18:$AA$29)-SUM($AA$36,$AA$42,$AA$48,$AA$54,$AA$60,$AA$66,$AA$72:$AA$79))*Parameters!$B$37/12</f>
        <v>15457.80774735374</v>
      </c>
      <c r="R81" s="46">
        <f>(SUM($AA$18:$AA$29)-SUM($AA$36,$AA$42,$AA$48,$AA$54,$AA$60,$AA$66,$AA$72:$AA$79))*Parameters!$B$37/12</f>
        <v>15457.80774735374</v>
      </c>
      <c r="S81" s="46">
        <f>(SUM($AA$18:$AA$29)-SUM($AA$36,$AA$42,$AA$48,$AA$54,$AA$60,$AA$66,$AA$72:$AA$79))*Parameters!$B$37/12</f>
        <v>15457.80774735374</v>
      </c>
      <c r="T81" s="46">
        <f>(SUM($AA$18:$AA$29)-SUM($AA$36,$AA$42,$AA$48,$AA$54,$AA$60,$AA$66,$AA$72:$AA$79))*Parameters!$B$37/12</f>
        <v>15457.80774735374</v>
      </c>
      <c r="U81" s="46">
        <f>(SUM($AA$18:$AA$29)-SUM($AA$36,$AA$42,$AA$48,$AA$54,$AA$60,$AA$66,$AA$72:$AA$79))*Parameters!$B$37/12</f>
        <v>15457.80774735374</v>
      </c>
      <c r="V81" s="46">
        <f>(SUM($AA$18:$AA$29)-SUM($AA$36,$AA$42,$AA$48,$AA$54,$AA$60,$AA$66,$AA$72:$AA$79))*Parameters!$B$37/12</f>
        <v>15457.80774735374</v>
      </c>
      <c r="W81" s="46">
        <f>(SUM($AA$18:$AA$29)-SUM($AA$36,$AA$42,$AA$48,$AA$54,$AA$60,$AA$66,$AA$72:$AA$79))*Parameters!$B$37/12</f>
        <v>15457.80774735374</v>
      </c>
      <c r="X81" s="46">
        <f>(SUM($AA$18:$AA$29)-SUM($AA$36,$AA$42,$AA$48,$AA$54,$AA$60,$AA$66,$AA$72:$AA$79))*Parameters!$B$37/12</f>
        <v>15457.80774735374</v>
      </c>
      <c r="Y81" s="46">
        <f>(SUM($AA$18:$AA$29)-SUM($AA$36,$AA$42,$AA$48,$AA$54,$AA$60,$AA$66,$AA$72:$AA$79))*Parameters!$B$37/12</f>
        <v>15457.80774735374</v>
      </c>
      <c r="Z81" s="46">
        <f>SUMIF($B$13:$Y$13,"Yes",B81:Y81)</f>
        <v>200951.5007155986</v>
      </c>
      <c r="AA81" s="46">
        <f>SUM(B81:M81)</f>
        <v>185493.6929682449</v>
      </c>
      <c r="AB81" s="46">
        <f>SUM(B81:Y81)</f>
        <v>370987.3859364897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25270.30774735374</v>
      </c>
      <c r="C88" s="19">
        <f>SUM(C72:C82,C66,C60,C54,C48,C42,C36)</f>
        <v>21082.80774735374</v>
      </c>
      <c r="D88" s="19">
        <f>SUM(D72:D82,D66,D60,D54,D48,D42,D36)</f>
        <v>21082.80774735374</v>
      </c>
      <c r="E88" s="19">
        <f>SUM(E72:E82,E66,E60,E54,E48,E42,E36)</f>
        <v>31520.30774735374</v>
      </c>
      <c r="F88" s="19">
        <f>SUM(F72:F82,F66,F60,F54,F48,F42,F36)</f>
        <v>23270.30774735374</v>
      </c>
      <c r="G88" s="19">
        <f>SUM(G72:G82,G66,G60,G54,G48,G42,G36)</f>
        <v>77770.30774735374</v>
      </c>
      <c r="H88" s="19">
        <f>SUM(H72:H82,H66,H60,H54,H48,H42,H36)</f>
        <v>145270.3077473537</v>
      </c>
      <c r="I88" s="19">
        <f>SUM(I72:I82,I66,I60,I54,I48,I42,I36)</f>
        <v>21082.80774735374</v>
      </c>
      <c r="J88" s="19">
        <f>SUM(J72:J82,J66,J60,J54,J48,J42,J36)</f>
        <v>21082.80774735374</v>
      </c>
      <c r="K88" s="19">
        <f>SUM(K72:K82,K66,K60,K54,K48,K42,K36)</f>
        <v>29520.30774735374</v>
      </c>
      <c r="L88" s="19">
        <f>SUM(L72:L82,L66,L60,L54,L48,L42,L36)</f>
        <v>23270.30774735374</v>
      </c>
      <c r="M88" s="19">
        <f>SUM(M72:M82,M66,M60,M54,M48,M42,M36)</f>
        <v>27770.30774735374</v>
      </c>
      <c r="N88" s="19">
        <f>SUM(N72:N82,N66,N60,N54,N48,N42,N36)</f>
        <v>25270.30774735374</v>
      </c>
      <c r="O88" s="19">
        <f>SUM(O72:O82,O66,O60,O54,O48,O42,O36)</f>
        <v>21082.80774735374</v>
      </c>
      <c r="P88" s="19">
        <f>SUM(P72:P82,P66,P60,P54,P48,P42,P36)</f>
        <v>21082.80774735374</v>
      </c>
      <c r="Q88" s="19">
        <f>SUM(Q72:Q82,Q66,Q60,Q54,Q48,Q42,Q36)</f>
        <v>31520.30774735374</v>
      </c>
      <c r="R88" s="19">
        <f>SUM(R72:R82,R66,R60,R54,R48,R42,R36)</f>
        <v>23270.30774735374</v>
      </c>
      <c r="S88" s="19">
        <f>SUM(S72:S82,S66,S60,S54,S48,S42,S36)</f>
        <v>27770.30774735374</v>
      </c>
      <c r="T88" s="19">
        <f>SUM(T72:T82,T66,T60,T54,T48,T42,T36)</f>
        <v>145270.3077473537</v>
      </c>
      <c r="U88" s="19">
        <f>SUM(U72:U82,U66,U60,U54,U48,U42,U36)</f>
        <v>21082.80774735374</v>
      </c>
      <c r="V88" s="19">
        <f>SUM(V72:V82,V66,V60,V54,V48,V42,V36)</f>
        <v>21082.80774735374</v>
      </c>
      <c r="W88" s="19">
        <f>SUM(W72:W82,W66,W60,W54,W48,W42,W36)</f>
        <v>29520.30774735374</v>
      </c>
      <c r="X88" s="19">
        <f>SUM(X72:X82,X66,X60,X54,X48,X42,X36)</f>
        <v>23270.30774735374</v>
      </c>
      <c r="Y88" s="19">
        <f>SUM(Y72:Y82,Y66,Y60,Y54,Y48,Y42,Y36)</f>
        <v>27770.30774735374</v>
      </c>
      <c r="Z88" s="19">
        <f>SUMIF($B$13:$Y$13,"Yes",B88:Y88)</f>
        <v>493264.0007155986</v>
      </c>
      <c r="AA88" s="19">
        <f>SUM(B88:M88)</f>
        <v>467993.6929682449</v>
      </c>
      <c r="AB88" s="19">
        <f>SUM(B88:Y88)</f>
        <v>885987.3859364903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600000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910000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96</v>
      </c>
      <c r="B9" s="16"/>
      <c r="C9" s="143">
        <v>1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50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30000</v>
      </c>
    </row>
    <row r="31" spans="1:48">
      <c r="A31" s="5" t="s">
        <v>116</v>
      </c>
      <c r="B31" s="158">
        <v>5000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 t="s">
        <v>122</v>
      </c>
      <c r="B35" s="159">
        <v>50000</v>
      </c>
      <c r="C35" s="145" t="s">
        <v>123</v>
      </c>
      <c r="D35" s="49">
        <f>IFERROR(VLOOKUP(C35,Parameters!$C$79:$D$90,2,0),"")</f>
        <v>11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126</v>
      </c>
    </row>
    <row r="41" spans="1:48">
      <c r="A41" s="55" t="s">
        <v>127</v>
      </c>
      <c r="B41" s="140">
        <v>120000</v>
      </c>
    </row>
    <row r="42" spans="1:48">
      <c r="A42" s="55" t="s">
        <v>128</v>
      </c>
      <c r="B42" s="139" t="s">
        <v>129</v>
      </c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126</v>
      </c>
    </row>
    <row r="45" spans="1:48">
      <c r="A45" s="56" t="s">
        <v>133</v>
      </c>
      <c r="B45" s="161"/>
    </row>
    <row r="46" spans="1:48" customHeight="1" ht="30">
      <c r="A46" s="57" t="s">
        <v>134</v>
      </c>
      <c r="B46" s="161">
        <v>600000</v>
      </c>
    </row>
    <row r="47" spans="1:48" customHeight="1" ht="30">
      <c r="A47" s="57" t="s">
        <v>135</v>
      </c>
      <c r="B47" s="161">
        <v>300000</v>
      </c>
    </row>
    <row r="48" spans="1:48" customHeight="1" ht="30">
      <c r="A48" s="57" t="s">
        <v>136</v>
      </c>
      <c r="B48" s="161">
        <v>0</v>
      </c>
    </row>
    <row r="49" spans="1:48" customHeight="1" ht="30">
      <c r="A49" s="57" t="s">
        <v>137</v>
      </c>
      <c r="B49" s="161">
        <v>10000</v>
      </c>
    </row>
    <row r="50" spans="1:48">
      <c r="A50" s="43"/>
      <c r="B50" s="36"/>
    </row>
    <row r="51" spans="1:48">
      <c r="A51" s="58" t="s">
        <v>138</v>
      </c>
      <c r="B51" s="161">
        <v>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80000</v>
      </c>
      <c r="B56" s="159">
        <v>0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150</v>
      </c>
      <c r="C65" s="10" t="s">
        <v>151</v>
      </c>
    </row>
    <row r="66" spans="1:48">
      <c r="A66" s="142" t="s">
        <v>152</v>
      </c>
      <c r="B66" s="159">
        <v>68000</v>
      </c>
      <c r="C66" s="163">
        <v>68000</v>
      </c>
      <c r="D66" s="49">
        <f>INDEX(Parameters!$D$79:$D$90,MATCH(Inputs!A66,Parameters!$C$79:$C$90,0))</f>
        <v>5</v>
      </c>
    </row>
    <row r="67" spans="1:48">
      <c r="A67" s="143" t="s">
        <v>153</v>
      </c>
      <c r="B67" s="157">
        <v>78000</v>
      </c>
      <c r="C67" s="165">
        <v>77800</v>
      </c>
      <c r="D67" s="49">
        <f>INDEX(Parameters!$D$79:$D$90,MATCH(Inputs!A67,Parameters!$C$79:$C$90,0))</f>
        <v>4</v>
      </c>
    </row>
    <row r="68" spans="1:48">
      <c r="A68" s="143" t="s">
        <v>154</v>
      </c>
      <c r="B68" s="157">
        <v>92000</v>
      </c>
      <c r="C68" s="165">
        <v>92000</v>
      </c>
      <c r="D68" s="49">
        <f>INDEX(Parameters!$D$79:$D$90,MATCH(Inputs!A68,Parameters!$C$79:$C$90,0))</f>
        <v>3</v>
      </c>
    </row>
    <row r="69" spans="1:48">
      <c r="A69" s="143" t="s">
        <v>155</v>
      </c>
      <c r="B69" s="157">
        <v>142000</v>
      </c>
      <c r="C69" s="165">
        <v>141500</v>
      </c>
      <c r="D69" s="49">
        <f>INDEX(Parameters!$D$79:$D$90,MATCH(Inputs!A69,Parameters!$C$79:$C$90,0))</f>
        <v>2</v>
      </c>
    </row>
    <row r="70" spans="1:48">
      <c r="A70" s="143" t="s">
        <v>156</v>
      </c>
      <c r="B70" s="157">
        <v>51000</v>
      </c>
      <c r="C70" s="165">
        <v>51000</v>
      </c>
      <c r="D70" s="49">
        <f>INDEX(Parameters!$D$79:$D$90,MATCH(Inputs!A70,Parameters!$C$79:$C$90,0))</f>
        <v>1</v>
      </c>
    </row>
    <row r="71" spans="1:48">
      <c r="A71" s="144" t="s">
        <v>129</v>
      </c>
      <c r="B71" s="158">
        <v>100000</v>
      </c>
      <c r="C71" s="167">
        <v>99800</v>
      </c>
      <c r="D71" s="49">
        <f>INDEX(Parameters!$D$79:$D$90,MATCH(Inputs!A71,Parameters!$C$79:$C$90,0))</f>
        <v>12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5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100000</v>
      </c>
    </row>
    <row r="82" spans="1:48">
      <c r="A82" t="s">
        <v>166</v>
      </c>
      <c r="B82" s="161">
        <v>20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12</v>
      </c>
    </row>
    <row r="86" spans="1:48">
      <c r="A86" t="s">
        <v>171</v>
      </c>
      <c r="B86" s="161"/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42979</v>
      </c>
      <c r="C4" s="38">
        <f>IFERROR(DATE(YEAR(B4),MONTH(B4)+ROUND(T4/2,0),DAY(B4)),B4)</f>
        <v>43040</v>
      </c>
      <c r="D4" s="38">
        <f>IFERROR(DATE(YEAR(B4),MONTH(B4)+T4,DAY(B4)),"")</f>
        <v>43070</v>
      </c>
      <c r="E4" s="38">
        <f>IFERROR(IF($S4=0,"",IF($S4=2,DATE(YEAR(B4),MONTH(B4)+6,DAY(B4)),IF($S4=1,B4,""))),"")</f>
        <v>43160</v>
      </c>
      <c r="F4" s="38">
        <f>IFERROR(IF($S4=0,"",IF($S4=2,DATE(YEAR(C4),MONTH(C4)+6,DAY(C4)),IF($S4=1,C4,""))),"")</f>
        <v>43221</v>
      </c>
      <c r="G4" s="38">
        <f>IFERROR(IF($S4=0,"",IF($S4=2,DATE(YEAR(D4),MONTH(D4)+6,DAY(D4)),IF($S4=1,D4,""))),"")</f>
        <v>43252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5056.15387098665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336234.2324206122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750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17500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Onions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42979</v>
      </c>
      <c r="C5" s="39">
        <f>IFERROR(DATE(YEAR(B5),MONTH(B5)+ROUND(T5/2,0),DAY(B5)),B5)</f>
        <v>43070</v>
      </c>
      <c r="D5" s="39">
        <f>IFERROR(DATE(YEAR(B5),MONTH(B5)+T5,DAY(B5)),"")</f>
        <v>43132</v>
      </c>
      <c r="E5" s="39">
        <f>IFERROR(IF($S5=0,"",IF($S5=2,DATE(YEAR(B5),MONTH(B5)+6,DAY(B5)),IF($S5=1,B5,""))),"")</f>
        <v>43160</v>
      </c>
      <c r="F5" s="39">
        <f>IFERROR(IF($S5=0,"",IF($S5=2,DATE(YEAR(C5),MONTH(C5)+6,DAY(C5)),IF($S5=1,C5,""))),"")</f>
        <v>43252</v>
      </c>
      <c r="G5" s="39">
        <f>IFERROR(IF($S5=0,"",IF($S5=2,DATE(YEAR(D5),MONTH(D5)+6,DAY(D5)),IF($S5=1,D5,""))),"")</f>
        <v>43313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3479.15654460647</v>
      </c>
      <c r="M5" s="30">
        <f>L5*H5</f>
        <v>3479.15654460647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56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5</v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1500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2000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7500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42979</v>
      </c>
      <c r="C6" s="39">
        <f>IFERROR(DATE(YEAR(B6),MONTH(B6)+ROUND(T6/2,0),DAY(B6)),B6)</f>
        <v>42979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1</v>
      </c>
      <c r="I6" s="138" t="str">
        <f>IFERROR(VLOOKUP(Inputs!E9,Parameters!$J$77:$K$81,2,0),"")</f>
        <v>Yes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6</v>
      </c>
      <c r="AD7" s="22">
        <f>IF($A7=0,1/12,IFERROR(INDEX(Parameters!$X$2:$AI$17,MATCH(Calculations!$A7,Parameters!$A$2:$A$17,0),MONTH(Calculations!AD$3)),1/12))</f>
        <v>7</v>
      </c>
      <c r="AE7" s="22">
        <f>IF($A7=0,1/12,IFERROR(INDEX(Parameters!$X$2:$AI$17,MATCH(Calculations!$A7,Parameters!$A$2:$A$17,0),MONTH(Calculations!AE$3)),1/12))</f>
        <v>8</v>
      </c>
      <c r="AF7" s="22">
        <f>IF($A7=0,1/12,IFERROR(INDEX(Parameters!$X$2:$AI$17,MATCH(Calculations!$A7,Parameters!$A$2:$A$17,0),MONTH(Calculations!AF$3)),1/12))</f>
        <v>9</v>
      </c>
      <c r="AG7" s="22">
        <f>IF($A7=0,1/12,IFERROR(INDEX(Parameters!$X$2:$AI$17,MATCH(Calculations!$A7,Parameters!$A$2:$A$17,0),MONTH(Calculations!AG$3)),1/12))</f>
        <v>10</v>
      </c>
      <c r="AH7" s="22">
        <f>IF($A7=0,1/12,IFERROR(INDEX(Parameters!$X$2:$AI$17,MATCH(Calculations!$A7,Parameters!$A$2:$A$17,0),MONTH(Calculations!AH$3)),1/12))</f>
        <v>11</v>
      </c>
      <c r="AI7" s="22">
        <f>IF($A7=0,1/12,IFERROR(INDEX(Parameters!$X$2:$AI$17,MATCH(Calculations!$A7,Parameters!$A$2:$A$17,0),MONTH(Calculations!AI$3)),1/12))</f>
        <v>12</v>
      </c>
      <c r="AJ7" s="22">
        <f>IF($A7=0,1/12,IFERROR(INDEX(Parameters!$X$2:$AI$17,MATCH(Calculations!$A7,Parameters!$A$2:$A$17,0),MONTH(Calculations!AJ$3)),1/12))</f>
        <v>1</v>
      </c>
      <c r="AK7" s="22">
        <f>IF($A7=0,1/12,IFERROR(INDEX(Parameters!$X$2:$AI$17,MATCH(Calculations!$A7,Parameters!$A$2:$A$17,0),MONTH(Calculations!AK$3)),1/12))</f>
        <v>2</v>
      </c>
      <c r="AL7" s="22">
        <f>IF($A7=0,1/12,IFERROR(INDEX(Parameters!$X$2:$AI$17,MATCH(Calculations!$A7,Parameters!$A$2:$A$17,0),MONTH(Calculations!AL$3)),1/12))</f>
        <v>3</v>
      </c>
      <c r="AM7" s="22">
        <f>IF($A7=0,1/12,IFERROR(INDEX(Parameters!$X$2:$AI$17,MATCH(Calculations!$A7,Parameters!$A$2:$A$17,0),MONTH(Calculations!AM$3)),1/12))</f>
        <v>4</v>
      </c>
      <c r="AN7" s="22">
        <f>IF($A7=0,1/12,IFERROR(INDEX(Parameters!$X$2:$AI$17,MATCH(Calculations!$A7,Parameters!$A$2:$A$17,0),MONTH(Calculations!AN$3)),1/12))</f>
        <v>5</v>
      </c>
      <c r="AO7" s="22">
        <f>IF($A7=0,1/12,IFERROR(INDEX(Parameters!$X$2:$AI$17,MATCH(Calculations!$A7,Parameters!$A$2:$A$17,0),MONTH(Calculations!AO$3)),1/12))</f>
        <v>6</v>
      </c>
      <c r="AP7" s="22">
        <f>IF($A7=0,1/12,IFERROR(INDEX(Parameters!$X$2:$AI$17,MATCH(Calculations!$A7,Parameters!$A$2:$A$17,0),MONTH(Calculations!AP$3)),1/12))</f>
        <v>7</v>
      </c>
      <c r="AQ7" s="22">
        <f>IF($A7=0,1/12,IFERROR(INDEX(Parameters!$X$2:$AI$17,MATCH(Calculations!$A7,Parameters!$A$2:$A$17,0),MONTH(Calculations!AQ$3)),1/12))</f>
        <v>8</v>
      </c>
      <c r="AR7" s="22">
        <f>IF($A7=0,1/12,IFERROR(INDEX(Parameters!$X$2:$AI$17,MATCH(Calculations!$A7,Parameters!$A$2:$A$17,0),MONTH(Calculations!AR$3)),1/12))</f>
        <v>9</v>
      </c>
      <c r="AS7" s="22">
        <f>IF($A7=0,1/12,IFERROR(INDEX(Parameters!$X$2:$AI$17,MATCH(Calculations!$A7,Parameters!$A$2:$A$17,0),MONTH(Calculations!AS$3)),1/12))</f>
        <v>10</v>
      </c>
      <c r="AT7" s="22">
        <f>IF($A7=0,1/12,IFERROR(INDEX(Parameters!$X$2:$AI$17,MATCH(Calculations!$A7,Parameters!$A$2:$A$17,0),MONTH(Calculations!AT$3)),1/12))</f>
        <v>11</v>
      </c>
      <c r="AU7" s="22">
        <f>IF($A7=0,1/12,IFERROR(INDEX(Parameters!$X$2:$AI$17,MATCH(Calculations!$A7,Parameters!$A$2:$A$17,0),MONTH(Calculations!AU$3)),1/12))</f>
        <v>12</v>
      </c>
      <c r="AV7" s="22">
        <f>IF($A7=0,1/12,IFERROR(INDEX(Parameters!$X$2:$AI$17,MATCH(Calculations!$A7,Parameters!$A$2:$A$17,0),MONTH(Calculations!AV$3)),1/12))</f>
        <v>1</v>
      </c>
      <c r="AW7" s="22">
        <f>IF($A7=0,1/12,IFERROR(INDEX(Parameters!$X$2:$AI$17,MATCH(Calculations!$A7,Parameters!$A$2:$A$17,0),MONTH(Calculations!AW$3)),1/12))</f>
        <v>2</v>
      </c>
      <c r="AX7" s="22">
        <f>IF($A7=0,1/12,IFERROR(INDEX(Parameters!$X$2:$AI$17,MATCH(Calculations!$A7,Parameters!$A$2:$A$17,0),MONTH(Calculations!AX$3)),1/12))</f>
        <v>3</v>
      </c>
      <c r="AY7" s="22">
        <f>IF($A7=0,1/12,IFERROR(INDEX(Parameters!$X$2:$AI$17,MATCH(Calculations!$A7,Parameters!$A$2:$A$17,0),MONTH(Calculations!AY$3)),1/12))</f>
        <v>4</v>
      </c>
      <c r="AZ7" s="22">
        <f>IF($A7=0,1/12,IFERROR(INDEX(Parameters!$X$2:$AI$17,MATCH(Calculations!$A7,Parameters!$A$2:$A$17,0),MONTH(Calculations!AZ$3)),1/12))</f>
        <v>5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6</v>
      </c>
      <c r="AD8" s="24">
        <f>IF($A8=0,1/12,IFERROR(INDEX(Parameters!$X$2:$AI$17,MATCH(Calculations!$A8,Parameters!$A$2:$A$17,0),MONTH(Calculations!AD$3)),1/12))</f>
        <v>7</v>
      </c>
      <c r="AE8" s="24">
        <f>IF($A8=0,1/12,IFERROR(INDEX(Parameters!$X$2:$AI$17,MATCH(Calculations!$A8,Parameters!$A$2:$A$17,0),MONTH(Calculations!AE$3)),1/12))</f>
        <v>8</v>
      </c>
      <c r="AF8" s="24">
        <f>IF($A8=0,1/12,IFERROR(INDEX(Parameters!$X$2:$AI$17,MATCH(Calculations!$A8,Parameters!$A$2:$A$17,0),MONTH(Calculations!AF$3)),1/12))</f>
        <v>9</v>
      </c>
      <c r="AG8" s="24">
        <f>IF($A8=0,1/12,IFERROR(INDEX(Parameters!$X$2:$AI$17,MATCH(Calculations!$A8,Parameters!$A$2:$A$17,0),MONTH(Calculations!AG$3)),1/12))</f>
        <v>10</v>
      </c>
      <c r="AH8" s="24">
        <f>IF($A8=0,1/12,IFERROR(INDEX(Parameters!$X$2:$AI$17,MATCH(Calculations!$A8,Parameters!$A$2:$A$17,0),MONTH(Calculations!AH$3)),1/12))</f>
        <v>11</v>
      </c>
      <c r="AI8" s="24">
        <f>IF($A8=0,1/12,IFERROR(INDEX(Parameters!$X$2:$AI$17,MATCH(Calculations!$A8,Parameters!$A$2:$A$17,0),MONTH(Calculations!AI$3)),1/12))</f>
        <v>12</v>
      </c>
      <c r="AJ8" s="24">
        <f>IF($A8=0,1/12,IFERROR(INDEX(Parameters!$X$2:$AI$17,MATCH(Calculations!$A8,Parameters!$A$2:$A$17,0),MONTH(Calculations!AJ$3)),1/12))</f>
        <v>1</v>
      </c>
      <c r="AK8" s="24">
        <f>IF($A8=0,1/12,IFERROR(INDEX(Parameters!$X$2:$AI$17,MATCH(Calculations!$A8,Parameters!$A$2:$A$17,0),MONTH(Calculations!AK$3)),1/12))</f>
        <v>2</v>
      </c>
      <c r="AL8" s="24">
        <f>IF($A8=0,1/12,IFERROR(INDEX(Parameters!$X$2:$AI$17,MATCH(Calculations!$A8,Parameters!$A$2:$A$17,0),MONTH(Calculations!AL$3)),1/12))</f>
        <v>3</v>
      </c>
      <c r="AM8" s="24">
        <f>IF($A8=0,1/12,IFERROR(INDEX(Parameters!$X$2:$AI$17,MATCH(Calculations!$A8,Parameters!$A$2:$A$17,0),MONTH(Calculations!AM$3)),1/12))</f>
        <v>4</v>
      </c>
      <c r="AN8" s="24">
        <f>IF($A8=0,1/12,IFERROR(INDEX(Parameters!$X$2:$AI$17,MATCH(Calculations!$A8,Parameters!$A$2:$A$17,0),MONTH(Calculations!AN$3)),1/12))</f>
        <v>5</v>
      </c>
      <c r="AO8" s="24">
        <f>IF($A8=0,1/12,IFERROR(INDEX(Parameters!$X$2:$AI$17,MATCH(Calculations!$A8,Parameters!$A$2:$A$17,0),MONTH(Calculations!AO$3)),1/12))</f>
        <v>6</v>
      </c>
      <c r="AP8" s="24">
        <f>IF($A8=0,1/12,IFERROR(INDEX(Parameters!$X$2:$AI$17,MATCH(Calculations!$A8,Parameters!$A$2:$A$17,0),MONTH(Calculations!AP$3)),1/12))</f>
        <v>7</v>
      </c>
      <c r="AQ8" s="24">
        <f>IF($A8=0,1/12,IFERROR(INDEX(Parameters!$X$2:$AI$17,MATCH(Calculations!$A8,Parameters!$A$2:$A$17,0),MONTH(Calculations!AQ$3)),1/12))</f>
        <v>8</v>
      </c>
      <c r="AR8" s="24">
        <f>IF($A8=0,1/12,IFERROR(INDEX(Parameters!$X$2:$AI$17,MATCH(Calculations!$A8,Parameters!$A$2:$A$17,0),MONTH(Calculations!AR$3)),1/12))</f>
        <v>9</v>
      </c>
      <c r="AS8" s="24">
        <f>IF($A8=0,1/12,IFERROR(INDEX(Parameters!$X$2:$AI$17,MATCH(Calculations!$A8,Parameters!$A$2:$A$17,0),MONTH(Calculations!AS$3)),1/12))</f>
        <v>10</v>
      </c>
      <c r="AT8" s="24">
        <f>IF($A8=0,1/12,IFERROR(INDEX(Parameters!$X$2:$AI$17,MATCH(Calculations!$A8,Parameters!$A$2:$A$17,0),MONTH(Calculations!AT$3)),1/12))</f>
        <v>11</v>
      </c>
      <c r="AU8" s="24">
        <f>IF($A8=0,1/12,IFERROR(INDEX(Parameters!$X$2:$AI$17,MATCH(Calculations!$A8,Parameters!$A$2:$A$17,0),MONTH(Calculations!AU$3)),1/12))</f>
        <v>12</v>
      </c>
      <c r="AV8" s="24">
        <f>IF($A8=0,1/12,IFERROR(INDEX(Parameters!$X$2:$AI$17,MATCH(Calculations!$A8,Parameters!$A$2:$A$17,0),MONTH(Calculations!AV$3)),1/12))</f>
        <v>1</v>
      </c>
      <c r="AW8" s="24">
        <f>IF($A8=0,1/12,IFERROR(INDEX(Parameters!$X$2:$AI$17,MATCH(Calculations!$A8,Parameters!$A$2:$A$17,0),MONTH(Calculations!AW$3)),1/12))</f>
        <v>2</v>
      </c>
      <c r="AX8" s="24">
        <f>IF($A8=0,1/12,IFERROR(INDEX(Parameters!$X$2:$AI$17,MATCH(Calculations!$A8,Parameters!$A$2:$A$17,0),MONTH(Calculations!AX$3)),1/12))</f>
        <v>3</v>
      </c>
      <c r="AY8" s="24">
        <f>IF($A8=0,1/12,IFERROR(INDEX(Parameters!$X$2:$AI$17,MATCH(Calculations!$A8,Parameters!$A$2:$A$17,0),MONTH(Calculations!AY$3)),1/12))</f>
        <v>4</v>
      </c>
      <c r="AZ8" s="24">
        <f>IF($A8=0,1/12,IFERROR(INDEX(Parameters!$X$2:$AI$17,MATCH(Calculations!$A8,Parameters!$A$2:$A$17,0),MONTH(Calculations!AZ$3)),1/12))</f>
        <v>5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80000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42938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42917</v>
      </c>
      <c r="F33" t="s">
        <v>162</v>
      </c>
      <c r="G33" s="128">
        <f>IF(Inputs!B79="","",DATE(YEAR(Inputs!B79),MONTH(Inputs!B79),DAY(Inputs!B79)))</f>
        <v>42908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42969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42948</v>
      </c>
      <c r="F34" t="s">
        <v>163</v>
      </c>
      <c r="G34" s="128">
        <f>IF(Inputs!B80="","",DATE(YEAR(Inputs!B80),MONTH(Inputs!B80),DAY(Inputs!B80)))</f>
        <v>42938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43000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42979</v>
      </c>
      <c r="F35" t="s">
        <v>165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43030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43009</v>
      </c>
      <c r="F36" t="s">
        <v>166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43061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43040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43091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43070</v>
      </c>
      <c r="F38" t="s">
        <v>228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43122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43101</v>
      </c>
      <c r="F39" t="s">
        <v>171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43153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43132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43181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43160</v>
      </c>
      <c r="F41" t="s">
        <v>229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43212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43191</v>
      </c>
      <c r="F42" t="s">
        <v>230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43242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43221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43273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43252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95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203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298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297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297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297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297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98</v>
      </c>
      <c r="B41" s="191" t="s">
        <v>126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298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273</v>
      </c>
      <c r="E52" s="12" t="s">
        <v>273</v>
      </c>
      <c r="F52" s="12" t="s">
        <v>273</v>
      </c>
      <c r="G52" s="12" t="s">
        <v>315</v>
      </c>
      <c r="H52" s="12" t="s">
        <v>316</v>
      </c>
      <c r="I52" s="12" t="s">
        <v>131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231</v>
      </c>
      <c r="E53" s="10" t="s">
        <v>190</v>
      </c>
      <c r="F53" s="10" t="s">
        <v>250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126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126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126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126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126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126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126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168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227</v>
      </c>
      <c r="J76" s="11" t="s">
        <v>349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126</v>
      </c>
      <c r="F77" s="12" t="s">
        <v>126</v>
      </c>
      <c r="G77" s="12" t="s">
        <v>351</v>
      </c>
      <c r="H77" s="12" t="s">
        <v>316</v>
      </c>
      <c r="I77" s="12" t="s">
        <v>352</v>
      </c>
      <c r="J77" s="136" t="s">
        <v>353</v>
      </c>
      <c r="K77" s="12" t="s">
        <v>126</v>
      </c>
      <c r="AJ77" s="12"/>
    </row>
    <row r="78" spans="1:36">
      <c r="A78" t="s">
        <v>126</v>
      </c>
      <c r="B78" s="176">
        <v>5</v>
      </c>
      <c r="C78" s="134" t="s">
        <v>354</v>
      </c>
      <c r="D78" s="133"/>
      <c r="E78" s="12" t="s">
        <v>355</v>
      </c>
      <c r="F78" s="12" t="s">
        <v>356</v>
      </c>
      <c r="G78" s="12" t="s">
        <v>357</v>
      </c>
      <c r="H78" s="12" t="s">
        <v>131</v>
      </c>
      <c r="I78" s="12" t="s">
        <v>358</v>
      </c>
      <c r="J78" s="70" t="s">
        <v>359</v>
      </c>
      <c r="K78" s="12" t="s">
        <v>126</v>
      </c>
      <c r="AJ78" s="12"/>
    </row>
    <row r="79" spans="1:36">
      <c r="B79" s="176">
        <v>10</v>
      </c>
      <c r="C79" s="12" t="s">
        <v>156</v>
      </c>
      <c r="D79" s="12">
        <v>1</v>
      </c>
      <c r="E79" s="12" t="s">
        <v>360</v>
      </c>
      <c r="F79" s="12" t="s">
        <v>361</v>
      </c>
      <c r="G79" s="12" t="s">
        <v>362</v>
      </c>
      <c r="I79" s="12" t="s">
        <v>168</v>
      </c>
      <c r="J79" s="70" t="s">
        <v>363</v>
      </c>
      <c r="K79" s="12" t="s">
        <v>126</v>
      </c>
      <c r="AJ79" s="12"/>
    </row>
    <row r="80" spans="1:36">
      <c r="B80" s="176">
        <v>20</v>
      </c>
      <c r="C80" s="12" t="s">
        <v>155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154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153</v>
      </c>
      <c r="D82" s="12">
        <f>D81+1</f>
        <v>4</v>
      </c>
      <c r="J82" s="70"/>
    </row>
    <row r="83" spans="1:36">
      <c r="B83" s="176">
        <v>50</v>
      </c>
      <c r="C83" s="12" t="s">
        <v>152</v>
      </c>
      <c r="D83" s="12">
        <f>D82+1</f>
        <v>5</v>
      </c>
    </row>
    <row r="84" spans="1:36">
      <c r="B84" s="176">
        <v>60</v>
      </c>
      <c r="C84" s="12" t="s">
        <v>365</v>
      </c>
      <c r="D84" s="12">
        <f>D83+1</f>
        <v>6</v>
      </c>
    </row>
    <row r="85" spans="1:36">
      <c r="B85" s="176">
        <v>70</v>
      </c>
      <c r="C85" s="12" t="s">
        <v>366</v>
      </c>
      <c r="D85" s="12">
        <f>D84+1</f>
        <v>7</v>
      </c>
    </row>
    <row r="86" spans="1:36">
      <c r="B86" s="176">
        <v>80</v>
      </c>
      <c r="C86" s="12" t="s">
        <v>367</v>
      </c>
      <c r="D86" s="12">
        <f>D85+1</f>
        <v>8</v>
      </c>
    </row>
    <row r="87" spans="1:36">
      <c r="B87" s="176">
        <v>89.99999999999999</v>
      </c>
      <c r="C87" s="12" t="s">
        <v>94</v>
      </c>
      <c r="D87" s="12">
        <f>D86+1</f>
        <v>9</v>
      </c>
    </row>
    <row r="88" spans="1:36">
      <c r="B88" s="176">
        <v>99.99999999999999</v>
      </c>
      <c r="C88" s="12" t="s">
        <v>368</v>
      </c>
      <c r="D88" s="12">
        <f>D87+1</f>
        <v>10</v>
      </c>
    </row>
    <row r="89" spans="1:36">
      <c r="C89" s="12" t="s">
        <v>123</v>
      </c>
      <c r="D89" s="12">
        <f>D88+1</f>
        <v>11</v>
      </c>
    </row>
    <row r="90" spans="1:36">
      <c r="C90" s="12" t="s">
        <v>129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